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6380" windowHeight="8190" tabRatio="500"/>
  </bookViews>
  <sheets>
    <sheet name="BDI" sheetId="1" r:id="rId1"/>
    <sheet name="Mão de obra" sheetId="2" r:id="rId2"/>
    <sheet name="Coleta convencional" sheetId="3" r:id="rId3"/>
    <sheet name="Coleta seletiva" sheetId="4" r:id="rId4"/>
    <sheet name="Orçamento Geral" sheetId="5" r:id="rId5"/>
  </sheets>
  <calcPr calcId="124519" iterateDelta="1E-4"/>
</workbook>
</file>

<file path=xl/calcChain.xml><?xml version="1.0" encoding="utf-8"?>
<calcChain xmlns="http://schemas.openxmlformats.org/spreadsheetml/2006/main">
  <c r="F105" i="5"/>
  <c r="F106" s="1"/>
  <c r="D484" i="3"/>
  <c r="D558"/>
  <c r="E128"/>
  <c r="F119" i="5"/>
  <c r="F114"/>
  <c r="J55" i="3"/>
  <c r="G32"/>
  <c r="G31"/>
  <c r="E118"/>
  <c r="B12" i="1"/>
  <c r="F220" i="4"/>
  <c r="E177"/>
  <c r="B264"/>
  <c r="G311" i="3"/>
  <c r="F422"/>
  <c r="C111"/>
  <c r="B111"/>
  <c r="E102"/>
  <c r="F325" i="4"/>
  <c r="E308"/>
  <c r="E89" i="5" s="1"/>
  <c r="F89" s="1"/>
  <c r="F297" i="4"/>
  <c r="F352" s="1"/>
  <c r="F355" s="1"/>
  <c r="F356" s="1"/>
  <c r="F136"/>
  <c r="F229"/>
  <c r="F231"/>
  <c r="F232"/>
  <c r="F233"/>
  <c r="E42"/>
  <c r="E77"/>
  <c r="E78"/>
  <c r="E38"/>
  <c r="E39"/>
  <c r="C489" i="3"/>
  <c r="D497"/>
  <c r="F204"/>
  <c r="D212"/>
  <c r="E204"/>
  <c r="E169"/>
  <c r="F282"/>
  <c r="E180"/>
  <c r="F271"/>
  <c r="G96"/>
  <c r="G84"/>
  <c r="G90"/>
  <c r="G78"/>
  <c r="C55"/>
  <c r="H43"/>
  <c r="H37"/>
  <c r="H47"/>
  <c r="H48"/>
  <c r="C53"/>
  <c r="D248" i="2"/>
  <c r="D253"/>
  <c r="D233"/>
  <c r="D173"/>
  <c r="D153"/>
  <c r="A377" i="4"/>
  <c r="E179" i="3"/>
  <c r="E178"/>
  <c r="F272"/>
  <c r="E38"/>
  <c r="E47"/>
  <c r="F104" i="5"/>
  <c r="D86"/>
  <c r="D85"/>
  <c r="D82"/>
  <c r="D81"/>
  <c r="D80"/>
  <c r="D79"/>
  <c r="D78"/>
  <c r="D77"/>
  <c r="D76"/>
  <c r="D75"/>
  <c r="E74"/>
  <c r="D70"/>
  <c r="D69"/>
  <c r="D68"/>
  <c r="D56"/>
  <c r="D55"/>
  <c r="E54"/>
  <c r="E43"/>
  <c r="F43" s="1"/>
  <c r="E33"/>
  <c r="F33" s="1"/>
  <c r="E16"/>
  <c r="D12"/>
  <c r="E409" i="4"/>
  <c r="G387"/>
  <c r="F383"/>
  <c r="B376"/>
  <c r="F346"/>
  <c r="F345"/>
  <c r="F347"/>
  <c r="F339"/>
  <c r="F341"/>
  <c r="F342"/>
  <c r="F335"/>
  <c r="F336"/>
  <c r="F329"/>
  <c r="F290"/>
  <c r="E92" i="5"/>
  <c r="F294" i="4"/>
  <c r="E96" i="5"/>
  <c r="G279" i="4"/>
  <c r="F130"/>
  <c r="H130"/>
  <c r="G247"/>
  <c r="G246"/>
  <c r="G249"/>
  <c r="G250"/>
  <c r="F235"/>
  <c r="F128"/>
  <c r="G239"/>
  <c r="G243"/>
  <c r="G244"/>
  <c r="G230"/>
  <c r="G228"/>
  <c r="F228"/>
  <c r="G227"/>
  <c r="F221"/>
  <c r="F213"/>
  <c r="F205"/>
  <c r="F203"/>
  <c r="F196"/>
  <c r="F186"/>
  <c r="F195"/>
  <c r="F198"/>
  <c r="E169"/>
  <c r="F145"/>
  <c r="G229"/>
  <c r="D110"/>
  <c r="D109"/>
  <c r="D105"/>
  <c r="E105"/>
  <c r="E104"/>
  <c r="E96"/>
  <c r="D94" i="5"/>
  <c r="E95" i="4"/>
  <c r="G280"/>
  <c r="G275"/>
  <c r="E65"/>
  <c r="E66"/>
  <c r="E69"/>
  <c r="D39"/>
  <c r="C39"/>
  <c r="D38"/>
  <c r="C38"/>
  <c r="D557" i="3"/>
  <c r="D556"/>
  <c r="D551"/>
  <c r="D550"/>
  <c r="D552"/>
  <c r="E533"/>
  <c r="E525"/>
  <c r="E523"/>
  <c r="E527"/>
  <c r="E516"/>
  <c r="E506"/>
  <c r="E515"/>
  <c r="E518"/>
  <c r="E463"/>
  <c r="F430"/>
  <c r="E426"/>
  <c r="B419"/>
  <c r="B422"/>
  <c r="E424"/>
  <c r="E403"/>
  <c r="E407"/>
  <c r="E396"/>
  <c r="E395"/>
  <c r="E398"/>
  <c r="E399"/>
  <c r="E389"/>
  <c r="E388"/>
  <c r="E390"/>
  <c r="E382"/>
  <c r="E384"/>
  <c r="E385"/>
  <c r="E378"/>
  <c r="E379"/>
  <c r="E372"/>
  <c r="E332"/>
  <c r="E36" i="5"/>
  <c r="F36"/>
  <c r="E368" i="3"/>
  <c r="E370"/>
  <c r="E362"/>
  <c r="E331"/>
  <c r="E35" i="5"/>
  <c r="F35" s="1"/>
  <c r="E358" i="3"/>
  <c r="D353"/>
  <c r="D33" i="5"/>
  <c r="F323" i="3"/>
  <c r="E161"/>
  <c r="G161"/>
  <c r="B308"/>
  <c r="F290"/>
  <c r="F289"/>
  <c r="F292"/>
  <c r="F293"/>
  <c r="F285"/>
  <c r="F273"/>
  <c r="E271"/>
  <c r="F270"/>
  <c r="F274"/>
  <c r="F275"/>
  <c r="F276"/>
  <c r="F158"/>
  <c r="E264"/>
  <c r="E263"/>
  <c r="E265"/>
  <c r="E256"/>
  <c r="E248"/>
  <c r="E246"/>
  <c r="E250"/>
  <c r="F241"/>
  <c r="E241"/>
  <c r="E242"/>
  <c r="E243"/>
  <c r="E231"/>
  <c r="E221"/>
  <c r="E230"/>
  <c r="E233"/>
  <c r="D161"/>
  <c r="F161"/>
  <c r="E29" i="5"/>
  <c r="F29" s="1"/>
  <c r="G147" i="3"/>
  <c r="G146"/>
  <c r="G145"/>
  <c r="H140"/>
  <c r="D453"/>
  <c r="H139"/>
  <c r="D450"/>
  <c r="H138"/>
  <c r="D451"/>
  <c r="H137"/>
  <c r="F324"/>
  <c r="F319"/>
  <c r="E112"/>
  <c r="C112"/>
  <c r="B112"/>
  <c r="D112"/>
  <c r="E111"/>
  <c r="D111"/>
  <c r="E110"/>
  <c r="C110"/>
  <c r="B110"/>
  <c r="D110"/>
  <c r="E109"/>
  <c r="C109"/>
  <c r="B109"/>
  <c r="D109"/>
  <c r="E108"/>
  <c r="C108"/>
  <c r="B108"/>
  <c r="D108"/>
  <c r="E107"/>
  <c r="E113"/>
  <c r="E114"/>
  <c r="C107"/>
  <c r="D107"/>
  <c r="D113"/>
  <c r="D114"/>
  <c r="F102"/>
  <c r="F103"/>
  <c r="G72"/>
  <c r="G66"/>
  <c r="G48"/>
  <c r="F48"/>
  <c r="E48"/>
  <c r="D48"/>
  <c r="C48"/>
  <c r="B48"/>
  <c r="G47"/>
  <c r="F47"/>
  <c r="D47"/>
  <c r="C47"/>
  <c r="B47"/>
  <c r="D314" i="2"/>
  <c r="A309"/>
  <c r="A310"/>
  <c r="A311"/>
  <c r="A312"/>
  <c r="A313"/>
  <c r="A314"/>
  <c r="A315"/>
  <c r="A316"/>
  <c r="D308"/>
  <c r="C302"/>
  <c r="C297"/>
  <c r="C289"/>
  <c r="C276"/>
  <c r="C303"/>
  <c r="D237"/>
  <c r="D228"/>
  <c r="C222"/>
  <c r="C217"/>
  <c r="C209"/>
  <c r="C196"/>
  <c r="C223"/>
  <c r="D157"/>
  <c r="C157"/>
  <c r="D152"/>
  <c r="D151"/>
  <c r="D149"/>
  <c r="C149"/>
  <c r="D150"/>
  <c r="D230"/>
  <c r="D148"/>
  <c r="D160"/>
  <c r="C142"/>
  <c r="C137"/>
  <c r="C129"/>
  <c r="C116"/>
  <c r="C143"/>
  <c r="D94"/>
  <c r="D102"/>
  <c r="D79"/>
  <c r="D72"/>
  <c r="D71"/>
  <c r="D70"/>
  <c r="D69"/>
  <c r="D67"/>
  <c r="D68"/>
  <c r="D66"/>
  <c r="C60"/>
  <c r="C55"/>
  <c r="C47"/>
  <c r="C34"/>
  <c r="C61"/>
  <c r="D12"/>
  <c r="D20"/>
  <c r="E410" i="4"/>
  <c r="E411" s="1"/>
  <c r="D14" s="1"/>
  <c r="F188"/>
  <c r="E223" i="3"/>
  <c r="E167"/>
  <c r="E272"/>
  <c r="E274"/>
  <c r="E275"/>
  <c r="E276"/>
  <c r="E197"/>
  <c r="E199"/>
  <c r="E200"/>
  <c r="F300" i="4"/>
  <c r="F327"/>
  <c r="F319"/>
  <c r="F289"/>
  <c r="E91" i="5"/>
  <c r="E130" i="4"/>
  <c r="G130"/>
  <c r="E86" i="5"/>
  <c r="F86" s="1"/>
  <c r="F315" i="4"/>
  <c r="F317" s="1"/>
  <c r="F313" s="1"/>
  <c r="F288" s="1"/>
  <c r="E90" i="5" s="1"/>
  <c r="F90" s="1"/>
  <c r="F353" i="4"/>
  <c r="E82" i="5"/>
  <c r="F82" s="1"/>
  <c r="F207" i="4"/>
  <c r="F222"/>
  <c r="F218"/>
  <c r="D354" i="3"/>
  <c r="E348"/>
  <c r="E329"/>
  <c r="E103"/>
  <c r="F463"/>
  <c r="G463" s="1"/>
  <c r="C562"/>
  <c r="C563"/>
  <c r="D51" i="5"/>
  <c r="E404" i="3"/>
  <c r="E336"/>
  <c r="E40" i="5"/>
  <c r="F40" s="1"/>
  <c r="E508" i="3"/>
  <c r="E360"/>
  <c r="E356"/>
  <c r="E330"/>
  <c r="E34" i="5"/>
  <c r="F34" s="1"/>
  <c r="D452" i="3"/>
  <c r="D10" i="5"/>
  <c r="G267" i="4"/>
  <c r="D135" i="2"/>
  <c r="D133"/>
  <c r="D132"/>
  <c r="D120"/>
  <c r="D124"/>
  <c r="D129"/>
  <c r="D134"/>
  <c r="D119"/>
  <c r="C153"/>
  <c r="C159"/>
  <c r="D126"/>
  <c r="D128"/>
  <c r="D127"/>
  <c r="D125"/>
  <c r="D155"/>
  <c r="D108"/>
  <c r="D112"/>
  <c r="D107"/>
  <c r="D116"/>
  <c r="D113"/>
  <c r="D115"/>
  <c r="D110"/>
  <c r="D109"/>
  <c r="D123"/>
  <c r="D156"/>
  <c r="D136"/>
  <c r="D158"/>
  <c r="C158"/>
  <c r="D122"/>
  <c r="D111"/>
  <c r="D121"/>
  <c r="D114"/>
  <c r="C152"/>
  <c r="D137"/>
  <c r="F379" i="4"/>
  <c r="B379" s="1"/>
  <c r="F381" s="1"/>
  <c r="G240"/>
  <c r="B267"/>
  <c r="B270" s="1"/>
  <c r="F273" s="1"/>
  <c r="D91" i="5"/>
  <c r="F360" i="4"/>
  <c r="F361" s="1"/>
  <c r="F162"/>
  <c r="F164"/>
  <c r="F165"/>
  <c r="F272"/>
  <c r="E129" s="1"/>
  <c r="F91" i="5"/>
  <c r="C67" i="2"/>
  <c r="E117" i="3"/>
  <c r="E119"/>
  <c r="D553"/>
  <c r="D554"/>
  <c r="D470"/>
  <c r="E261"/>
  <c r="E157"/>
  <c r="F286"/>
  <c r="F287"/>
  <c r="E278"/>
  <c r="E159"/>
  <c r="F283"/>
  <c r="D8" i="5"/>
  <c r="E82" i="4"/>
  <c r="F141"/>
  <c r="E156"/>
  <c r="E528" i="3"/>
  <c r="E529"/>
  <c r="G231" i="4"/>
  <c r="G232"/>
  <c r="G233"/>
  <c r="G127"/>
  <c r="F160"/>
  <c r="F123"/>
  <c r="E267" i="3"/>
  <c r="G276"/>
  <c r="E158"/>
  <c r="E409"/>
  <c r="E335"/>
  <c r="E39" i="5"/>
  <c r="F39"/>
  <c r="D254" i="2"/>
  <c r="D262"/>
  <c r="E195" i="3"/>
  <c r="E154"/>
  <c r="D11" i="5"/>
  <c r="E334" i="3"/>
  <c r="E38" i="5"/>
  <c r="F38"/>
  <c r="E401" i="3"/>
  <c r="F127" i="4"/>
  <c r="F224"/>
  <c r="D75" i="2"/>
  <c r="D80"/>
  <c r="D30"/>
  <c r="D54"/>
  <c r="D55"/>
  <c r="D45"/>
  <c r="D77"/>
  <c r="D25"/>
  <c r="D27"/>
  <c r="D29"/>
  <c r="D141"/>
  <c r="D52"/>
  <c r="D50"/>
  <c r="D44"/>
  <c r="D51"/>
  <c r="D59"/>
  <c r="D76"/>
  <c r="D78"/>
  <c r="C78"/>
  <c r="D39"/>
  <c r="D31"/>
  <c r="D37"/>
  <c r="D46"/>
  <c r="D221"/>
  <c r="D301"/>
  <c r="D42"/>
  <c r="D26"/>
  <c r="D43"/>
  <c r="D140"/>
  <c r="D142"/>
  <c r="D143"/>
  <c r="D144"/>
  <c r="C163"/>
  <c r="C72"/>
  <c r="C66"/>
  <c r="D41"/>
  <c r="D220"/>
  <c r="D222"/>
  <c r="D38"/>
  <c r="D33"/>
  <c r="D40"/>
  <c r="D53"/>
  <c r="D58"/>
  <c r="D32"/>
  <c r="D28"/>
  <c r="C73"/>
  <c r="D300"/>
  <c r="F162" i="3"/>
  <c r="E28" i="5"/>
  <c r="F28" s="1"/>
  <c r="F30" s="1"/>
  <c r="E333" i="3"/>
  <c r="E37" i="5"/>
  <c r="F37" s="1"/>
  <c r="E392" i="3"/>
  <c r="H128" i="4"/>
  <c r="E128"/>
  <c r="E80" i="5"/>
  <c r="F80" s="1"/>
  <c r="C113" i="3"/>
  <c r="C114"/>
  <c r="E519"/>
  <c r="E520"/>
  <c r="E499"/>
  <c r="E500"/>
  <c r="E337"/>
  <c r="D434"/>
  <c r="E310" i="4"/>
  <c r="C148" i="2"/>
  <c r="C160"/>
  <c r="D50" i="3"/>
  <c r="C52"/>
  <c r="F126" i="4"/>
  <c r="D90" i="5"/>
  <c r="B311" i="3"/>
  <c r="D95" i="5"/>
  <c r="D231" i="2"/>
  <c r="D229"/>
  <c r="D9" i="5"/>
  <c r="E24"/>
  <c r="F24"/>
  <c r="D92"/>
  <c r="F92"/>
  <c r="E79" i="4"/>
  <c r="E81"/>
  <c r="D96" i="5"/>
  <c r="F96" s="1"/>
  <c r="D174" i="2"/>
  <c r="D182"/>
  <c r="D232"/>
  <c r="B107" i="3"/>
  <c r="B113"/>
  <c r="B114"/>
  <c r="D93" i="5"/>
  <c r="D215" i="2"/>
  <c r="D202"/>
  <c r="D208"/>
  <c r="D193"/>
  <c r="D235"/>
  <c r="D240"/>
  <c r="C233"/>
  <c r="D194"/>
  <c r="D204"/>
  <c r="C228"/>
  <c r="D192"/>
  <c r="D191"/>
  <c r="D201"/>
  <c r="D238"/>
  <c r="C238"/>
  <c r="D214"/>
  <c r="D213"/>
  <c r="D205"/>
  <c r="D200"/>
  <c r="D188"/>
  <c r="D212"/>
  <c r="D199"/>
  <c r="D236"/>
  <c r="D206"/>
  <c r="D190"/>
  <c r="D195"/>
  <c r="D187"/>
  <c r="D203"/>
  <c r="C239"/>
  <c r="D207"/>
  <c r="D216"/>
  <c r="C237"/>
  <c r="D189"/>
  <c r="D217"/>
  <c r="F214" i="4"/>
  <c r="F215"/>
  <c r="F216"/>
  <c r="F189"/>
  <c r="F190"/>
  <c r="F208"/>
  <c r="F209"/>
  <c r="F199"/>
  <c r="F200"/>
  <c r="F179"/>
  <c r="F180"/>
  <c r="E451" i="3"/>
  <c r="E9" i="5"/>
  <c r="F9" s="1"/>
  <c r="E110" i="4"/>
  <c r="F110" s="1"/>
  <c r="C229" i="2"/>
  <c r="H126" i="4"/>
  <c r="E126"/>
  <c r="E78" i="5"/>
  <c r="F78"/>
  <c r="E127" i="4"/>
  <c r="E79" i="5"/>
  <c r="F79" s="1"/>
  <c r="H127" i="4"/>
  <c r="G158" i="3"/>
  <c r="D158"/>
  <c r="E21" i="5"/>
  <c r="F21"/>
  <c r="E127" i="3"/>
  <c r="E172"/>
  <c r="D191"/>
  <c r="E120"/>
  <c r="E311" i="4"/>
  <c r="F305"/>
  <c r="F287" s="1"/>
  <c r="D89" i="5"/>
  <c r="E85"/>
  <c r="F85" s="1"/>
  <c r="F87" s="1"/>
  <c r="G131" i="4"/>
  <c r="B314" i="3"/>
  <c r="E317"/>
  <c r="E316"/>
  <c r="D160"/>
  <c r="E23" i="5"/>
  <c r="F23" s="1"/>
  <c r="G154" i="3"/>
  <c r="D154"/>
  <c r="E17" i="5"/>
  <c r="F17" s="1"/>
  <c r="G157" i="3"/>
  <c r="D157"/>
  <c r="E20" i="5"/>
  <c r="F20" s="1"/>
  <c r="D483" i="3"/>
  <c r="E509"/>
  <c r="E510"/>
  <c r="E502"/>
  <c r="E543"/>
  <c r="F543"/>
  <c r="E56" i="5"/>
  <c r="F56" s="1"/>
  <c r="E534" i="3"/>
  <c r="E535"/>
  <c r="E536"/>
  <c r="C232" i="2"/>
  <c r="D302"/>
  <c r="C80"/>
  <c r="E83" i="4"/>
  <c r="E542" i="3"/>
  <c r="F542"/>
  <c r="E55" i="5"/>
  <c r="F55" s="1"/>
  <c r="E487" i="3"/>
  <c r="C314" i="2"/>
  <c r="D297"/>
  <c r="D270"/>
  <c r="D275"/>
  <c r="D272"/>
  <c r="D283"/>
  <c r="D281"/>
  <c r="D282"/>
  <c r="D295"/>
  <c r="D273"/>
  <c r="C309"/>
  <c r="D285"/>
  <c r="D313"/>
  <c r="D287"/>
  <c r="D280"/>
  <c r="D294"/>
  <c r="D288"/>
  <c r="D292"/>
  <c r="D267"/>
  <c r="D268"/>
  <c r="D274"/>
  <c r="C308"/>
  <c r="C317"/>
  <c r="D284"/>
  <c r="D312"/>
  <c r="D317"/>
  <c r="C310"/>
  <c r="D296"/>
  <c r="D286"/>
  <c r="D271"/>
  <c r="D293"/>
  <c r="D279"/>
  <c r="D269"/>
  <c r="E123" i="4"/>
  <c r="E75" i="5"/>
  <c r="F75" s="1"/>
  <c r="H123" i="4"/>
  <c r="D74" i="5"/>
  <c r="F74" s="1"/>
  <c r="E157" i="4"/>
  <c r="D159" i="3"/>
  <c r="E22" i="5"/>
  <c r="F22" s="1"/>
  <c r="G159" i="3"/>
  <c r="D34" i="2"/>
  <c r="D61"/>
  <c r="D62"/>
  <c r="C83"/>
  <c r="E109" i="4" s="1"/>
  <c r="F109" s="1"/>
  <c r="F112" s="1"/>
  <c r="D60" i="2"/>
  <c r="D47"/>
  <c r="H233" i="4"/>
  <c r="F124"/>
  <c r="F167"/>
  <c r="F122"/>
  <c r="E158"/>
  <c r="F151"/>
  <c r="E121" i="3"/>
  <c r="C58"/>
  <c r="C59"/>
  <c r="D562"/>
  <c r="E69" i="5"/>
  <c r="F69"/>
  <c r="E452" i="3"/>
  <c r="F451"/>
  <c r="D209" i="2"/>
  <c r="D276"/>
  <c r="D196"/>
  <c r="D223"/>
  <c r="D224"/>
  <c r="C243"/>
  <c r="F182" i="4"/>
  <c r="F125"/>
  <c r="E450" i="3"/>
  <c r="E68" i="5" s="1"/>
  <c r="F68" s="1"/>
  <c r="E8"/>
  <c r="F8" s="1"/>
  <c r="D54"/>
  <c r="F54" s="1"/>
  <c r="D192" i="3"/>
  <c r="D16" i="5"/>
  <c r="F16" s="1"/>
  <c r="E160" i="3"/>
  <c r="G160"/>
  <c r="E297"/>
  <c r="D289" i="2"/>
  <c r="C240"/>
  <c r="E111" i="4"/>
  <c r="F111" s="1"/>
  <c r="E453" i="3"/>
  <c r="E70" i="5" s="1"/>
  <c r="F70" s="1"/>
  <c r="D563" i="3"/>
  <c r="E562"/>
  <c r="H125" i="4"/>
  <c r="E125"/>
  <c r="E77" i="5"/>
  <c r="F77" s="1"/>
  <c r="E124" i="4"/>
  <c r="E76" i="5"/>
  <c r="F76" s="1"/>
  <c r="H124" i="4"/>
  <c r="E478" i="3"/>
  <c r="E541"/>
  <c r="D485"/>
  <c r="F450"/>
  <c r="E10" i="5"/>
  <c r="F10" s="1"/>
  <c r="F452" i="3"/>
  <c r="E122"/>
  <c r="E214"/>
  <c r="E215"/>
  <c r="E234"/>
  <c r="E235"/>
  <c r="E224"/>
  <c r="E225"/>
  <c r="E251"/>
  <c r="E252"/>
  <c r="E257"/>
  <c r="E258"/>
  <c r="E259"/>
  <c r="E186"/>
  <c r="D193"/>
  <c r="E153"/>
  <c r="H122" i="4"/>
  <c r="E122"/>
  <c r="D303" i="2"/>
  <c r="D304"/>
  <c r="C320"/>
  <c r="E455" i="3" s="1"/>
  <c r="F541"/>
  <c r="F544"/>
  <c r="E544"/>
  <c r="F453"/>
  <c r="E563"/>
  <c r="E51" i="5"/>
  <c r="F51"/>
  <c r="F52" s="1"/>
  <c r="E217" i="3"/>
  <c r="E156"/>
  <c r="E202"/>
  <c r="E155"/>
  <c r="D153"/>
  <c r="E162"/>
  <c r="G153"/>
  <c r="D155"/>
  <c r="E18" i="5"/>
  <c r="F18" s="1"/>
  <c r="G155" i="3"/>
  <c r="D156"/>
  <c r="E19" i="5"/>
  <c r="F19" s="1"/>
  <c r="G156" i="3"/>
  <c r="E564"/>
  <c r="F570"/>
  <c r="F19" s="1"/>
  <c r="F21" s="1"/>
  <c r="F22" s="1"/>
  <c r="F9" s="1"/>
  <c r="F20"/>
  <c r="E569"/>
  <c r="F569"/>
  <c r="G569"/>
  <c r="G162"/>
  <c r="D433"/>
  <c r="D435"/>
  <c r="D162"/>
  <c r="D436"/>
  <c r="D437"/>
  <c r="E462"/>
  <c r="F462"/>
  <c r="G462"/>
  <c r="F14"/>
  <c r="D10" i="4" l="1"/>
  <c r="E401"/>
  <c r="E81" i="5"/>
  <c r="F81" s="1"/>
  <c r="F83" s="1"/>
  <c r="E131" i="4"/>
  <c r="F366"/>
  <c r="F293"/>
  <c r="E95" i="5" s="1"/>
  <c r="F95" s="1"/>
  <c r="F291" i="4"/>
  <c r="E93" i="5" s="1"/>
  <c r="F93" s="1"/>
  <c r="F349" i="4"/>
  <c r="F41" i="5"/>
  <c r="E12"/>
  <c r="F12" s="1"/>
  <c r="F455" i="3"/>
  <c r="F456" s="1"/>
  <c r="F254" i="4"/>
  <c r="F129"/>
  <c r="F71" i="5"/>
  <c r="F25"/>
  <c r="F44" s="1"/>
  <c r="F57"/>
  <c r="F58" s="1"/>
  <c r="F59" s="1"/>
  <c r="F60" s="1"/>
  <c r="G570" i="3"/>
  <c r="G571" s="1"/>
  <c r="E11" i="5"/>
  <c r="F11" s="1"/>
  <c r="F13" s="1"/>
  <c r="F364" i="4"/>
  <c r="F464" i="3" l="1"/>
  <c r="G464" s="1"/>
  <c r="G465" s="1"/>
  <c r="F457"/>
  <c r="F13"/>
  <c r="F15" s="1"/>
  <c r="F16" s="1"/>
  <c r="F8" s="1"/>
  <c r="F10" s="1"/>
  <c r="F45" i="5"/>
  <c r="F46" s="1"/>
  <c r="F62" s="1"/>
  <c r="F292" i="4"/>
  <c r="E94" i="5" s="1"/>
  <c r="F94" s="1"/>
  <c r="F97" s="1"/>
  <c r="F98" s="1"/>
  <c r="F99" s="1"/>
  <c r="F108" s="1"/>
  <c r="F109" s="1"/>
  <c r="F358" i="4"/>
  <c r="H129"/>
  <c r="H131" s="1"/>
  <c r="D391" s="1"/>
  <c r="F131"/>
  <c r="D393" l="1"/>
  <c r="F63" i="5"/>
  <c r="F125"/>
  <c r="F295" i="4"/>
  <c r="D392" s="1"/>
  <c r="D395" l="1"/>
  <c r="D394"/>
  <c r="E400" l="1"/>
  <c r="E402" s="1"/>
  <c r="D11"/>
  <c r="D12" s="1"/>
  <c r="D16" s="1"/>
  <c r="D17" s="1"/>
</calcChain>
</file>

<file path=xl/sharedStrings.xml><?xml version="1.0" encoding="utf-8"?>
<sst xmlns="http://schemas.openxmlformats.org/spreadsheetml/2006/main" count="1744" uniqueCount="768">
  <si>
    <t>QUADRO DE COMPOSIÇÃO DO B.D.I</t>
  </si>
  <si>
    <t>ITEM COMPONENTE DO BDI (BENEFÍCIOS E DESPESAS INDIRETAS)</t>
  </si>
  <si>
    <t>VALORES PROPOSTOS</t>
  </si>
  <si>
    <t>Administração Central (AC)</t>
  </si>
  <si>
    <t>Seguro e Garantia (SG)</t>
  </si>
  <si>
    <t>Risco ®</t>
  </si>
  <si>
    <t>Despesas Financeiras (DF)</t>
  </si>
  <si>
    <t>Lucro (L)</t>
  </si>
  <si>
    <t>I1: PIS e COFINS</t>
  </si>
  <si>
    <t>I2: ISSQN (conforme legislação municipal)</t>
  </si>
  <si>
    <t>I3: Cont. Prev. s/ Receita Bruta (Lei. Nº 12844/13- Desoneração)</t>
  </si>
  <si>
    <t>BDI - COM Desoneração da folha de pagamento</t>
  </si>
  <si>
    <t>BDI=[(1+AC+SG+R)x(1+DF)x(1+L)/(1-I1-I2-I3)]-1</t>
  </si>
  <si>
    <t>ANEXO DO PROJETO BÁSICO</t>
  </si>
  <si>
    <t>DIMENSIONAMENTO DOS CUSTOS DE MÃO DE OBRA</t>
  </si>
  <si>
    <t xml:space="preserve">Categoria profissional: </t>
  </si>
  <si>
    <t xml:space="preserve">Ajudante de coleta </t>
  </si>
  <si>
    <t>Quantidade mensal de horas:</t>
  </si>
  <si>
    <t>220h</t>
  </si>
  <si>
    <t xml:space="preserve">SINAPI - Composição de Encargos Sociais </t>
  </si>
  <si>
    <t>11/2019 ate 11/2020</t>
  </si>
  <si>
    <t>MONTANTE A</t>
  </si>
  <si>
    <t>1. REMUNERAÇÃO</t>
  </si>
  <si>
    <t>Item</t>
  </si>
  <si>
    <t>Composição da remuneração</t>
  </si>
  <si>
    <t>Complemento (%)</t>
  </si>
  <si>
    <t>Valor em R$</t>
  </si>
  <si>
    <t>1.1</t>
  </si>
  <si>
    <t xml:space="preserve">Salário base </t>
  </si>
  <si>
    <t>1.2</t>
  </si>
  <si>
    <t>Adicional de insalubridade</t>
  </si>
  <si>
    <t>1.3</t>
  </si>
  <si>
    <t>Adicional de periculosidade</t>
  </si>
  <si>
    <t>1.4</t>
  </si>
  <si>
    <t>Adicional de intrajornada</t>
  </si>
  <si>
    <t>1.5</t>
  </si>
  <si>
    <t>Adicional hora reduzida</t>
  </si>
  <si>
    <t>1.6</t>
  </si>
  <si>
    <t>Adicional noturno+ Reflexo Ad. Not. S/DSR+Prorrogação Jornada Not.</t>
  </si>
  <si>
    <t>1.7</t>
  </si>
  <si>
    <t>Adicional horas extras</t>
  </si>
  <si>
    <t>1.8</t>
  </si>
  <si>
    <t>Outros(assiduidade)</t>
  </si>
  <si>
    <t>1.9</t>
  </si>
  <si>
    <t>Reserva técnica</t>
  </si>
  <si>
    <t>VALOR DA REMUNERAÇÃO</t>
  </si>
  <si>
    <t>2- ENCARGOS SOCIAIS</t>
  </si>
  <si>
    <t>Grupo A</t>
  </si>
  <si>
    <t>Discriminação dos encargos sociais</t>
  </si>
  <si>
    <t>2.1</t>
  </si>
  <si>
    <t>INSS SOBRE A FOLHA/EMPREGADOR</t>
  </si>
  <si>
    <t>2.2</t>
  </si>
  <si>
    <t>SESI</t>
  </si>
  <si>
    <t>2.3</t>
  </si>
  <si>
    <t>SENAI</t>
  </si>
  <si>
    <t>2.4</t>
  </si>
  <si>
    <t>INCRA</t>
  </si>
  <si>
    <t>2.5</t>
  </si>
  <si>
    <t>SEBRAE</t>
  </si>
  <si>
    <t>2.6</t>
  </si>
  <si>
    <t>SALARIO EDUCAÇÃO</t>
  </si>
  <si>
    <t>2.7</t>
  </si>
  <si>
    <t>SEG CONTRA ACID TRABALHO</t>
  </si>
  <si>
    <t>2.8</t>
  </si>
  <si>
    <t>FGTS</t>
  </si>
  <si>
    <t>2.9</t>
  </si>
  <si>
    <t>SECONCI</t>
  </si>
  <si>
    <t>Total do Grupo A</t>
  </si>
  <si>
    <t>Grupo B</t>
  </si>
  <si>
    <t>Repouso Semanal Renunerado</t>
  </si>
  <si>
    <t>2.10</t>
  </si>
  <si>
    <t xml:space="preserve">Feriados </t>
  </si>
  <si>
    <t>2.11</t>
  </si>
  <si>
    <t xml:space="preserve">Auxílio - Enfermidade </t>
  </si>
  <si>
    <t>2.12</t>
  </si>
  <si>
    <t xml:space="preserve">13º Salário </t>
  </si>
  <si>
    <t>2.13</t>
  </si>
  <si>
    <t xml:space="preserve">Licença Paternidade </t>
  </si>
  <si>
    <t>2.14</t>
  </si>
  <si>
    <t xml:space="preserve">Faltas Justificadas </t>
  </si>
  <si>
    <t>2.15</t>
  </si>
  <si>
    <t xml:space="preserve">Dias de Chuvas </t>
  </si>
  <si>
    <t>2.16</t>
  </si>
  <si>
    <t xml:space="preserve">Auxílio Acidente de Trabalho </t>
  </si>
  <si>
    <t>2.17</t>
  </si>
  <si>
    <t xml:space="preserve">Férias Gozadas </t>
  </si>
  <si>
    <t>2.18</t>
  </si>
  <si>
    <t xml:space="preserve">Salário Maternidade </t>
  </si>
  <si>
    <t>Total do Grupo B</t>
  </si>
  <si>
    <t>Grupo C</t>
  </si>
  <si>
    <t>Aviso prévio indenizado</t>
  </si>
  <si>
    <t xml:space="preserve">Aviso Prévio Trabalhado </t>
  </si>
  <si>
    <t xml:space="preserve">Férias Indenizadas </t>
  </si>
  <si>
    <t>2.19</t>
  </si>
  <si>
    <t xml:space="preserve">Depósito Rescisão Sem Justa Causa </t>
  </si>
  <si>
    <t>2.20</t>
  </si>
  <si>
    <t xml:space="preserve">Indenização Adicional </t>
  </si>
  <si>
    <t>Total do Grupo C</t>
  </si>
  <si>
    <t>Grupo D</t>
  </si>
  <si>
    <t xml:space="preserve">Reincidência de Grupo A sobre Grupo B </t>
  </si>
  <si>
    <t>2.21</t>
  </si>
  <si>
    <t xml:space="preserve">Reincidência de Grupo A sobre Aviso Prévio Trabalhado e Reincidência do FGTS sobre Aviso Prévio Indenizado </t>
  </si>
  <si>
    <t xml:space="preserve">Total </t>
  </si>
  <si>
    <t>VALOR DOS ENCARGOS SOCIAIS – GRUPOS A, B, C e D</t>
  </si>
  <si>
    <t>VALOR TOTAL MONTANTE "A" (1+2)</t>
  </si>
  <si>
    <t>MONTANTE B</t>
  </si>
  <si>
    <t>Insumos sobre a mão de obra</t>
  </si>
  <si>
    <t>% em relação à remuneração</t>
  </si>
  <si>
    <t>Uniformes (6 conjuntos/ano) – Inclui calça comprida, camisa de brim e colete refletivo</t>
  </si>
  <si>
    <t xml:space="preserve">EPIs </t>
  </si>
  <si>
    <t>6calçados de segurança com elástico e solado antiderrapante na cor preta por ano</t>
  </si>
  <si>
    <t>2 capas de chuva em PVC forrada na cor amarela com manga e capuz</t>
  </si>
  <si>
    <t xml:space="preserve"> 2 bonés </t>
  </si>
  <si>
    <t>24 pares de luva com palma corrugada revestida de látex natural verde</t>
  </si>
  <si>
    <t>Vale transporte</t>
  </si>
  <si>
    <t>Vale alimentação</t>
  </si>
  <si>
    <t>Treinamento e/ou reciclagem de pessoal</t>
  </si>
  <si>
    <t>Seguro de vida em grupo</t>
  </si>
  <si>
    <t>Materiais de limpeza/equipamentos</t>
  </si>
  <si>
    <t>Contribuição patronal</t>
  </si>
  <si>
    <t>Contribuição Sindical (1 dia de trabalho/ano)</t>
  </si>
  <si>
    <t>Contribuição Assistencial (1% do salário base)</t>
  </si>
  <si>
    <t xml:space="preserve">VALOR TOTAL MONTANTE "B" </t>
  </si>
  <si>
    <t>VALOR MENSAL POR FUNCIONÁRIO (Remuneração + Montante A + Montante B + BDI)</t>
  </si>
  <si>
    <t>Valor mensal por funcionário</t>
  </si>
  <si>
    <t>Motorista de caminhão</t>
  </si>
  <si>
    <t>Salário base</t>
  </si>
  <si>
    <t>EPIs</t>
  </si>
  <si>
    <t>6 calçados de segurança com elástico e solado antiderrapante na cor preta por ano</t>
  </si>
  <si>
    <t>Contribuição Assistencial Patronal</t>
  </si>
  <si>
    <t>Contribuição Sindical (2 dias de trabalho/ano)- maio e novembro</t>
  </si>
  <si>
    <t>Contribuição Assistencial Social</t>
  </si>
  <si>
    <t>Encarregado de frota</t>
  </si>
  <si>
    <t>Contribuição assistencial patronal</t>
  </si>
  <si>
    <t xml:space="preserve">Contribuição Assistencial </t>
  </si>
  <si>
    <t>Categoria profissional: Responsável técnico</t>
  </si>
  <si>
    <t>Engenheiro sanitarista/ambiental/químico/civil</t>
  </si>
  <si>
    <t>Quantidade mensal estimada de horas:</t>
  </si>
  <si>
    <t>32 horas/mês</t>
  </si>
  <si>
    <t>EPIs (2 calçados de segurança com elástico e solado antiderrapante na cor preta)</t>
  </si>
  <si>
    <t>ANEXO DO PROJETO BÁSICO COLETA CONVENCIONAL</t>
  </si>
  <si>
    <t>MEMORIAL DE CÁLCULO - COMPOSIÇÃO DE CUSTO DO SERVIÇO DE COLETA CONVENCIONAL E TRANSPORTE</t>
  </si>
  <si>
    <t xml:space="preserve">Neste memorial de cálculo é apresentada a discriminação dos valores utilizados como base para a composição do custo dos serviços de coleta e transporte de resíduos sólidos domiciliares, comercial-industriais (com características de domiciliares), das repartições públicas e da limpeza de áreas públicas do Município de Gaspar. 
Foram incluídos os principais itens e recursos julgados necessários à plena execução dos serviços.
</t>
  </si>
  <si>
    <t>1. RESUMO DOS SERVIÇOS</t>
  </si>
  <si>
    <t>R$/ton</t>
  </si>
  <si>
    <t>Preço por tonelada do serviço de coleta</t>
  </si>
  <si>
    <t>Preço por tonelada do serviço de transporte</t>
  </si>
  <si>
    <t>Preço total</t>
  </si>
  <si>
    <t>Descrição do item - Serviço de Coleta</t>
  </si>
  <si>
    <t>Custo mensal</t>
  </si>
  <si>
    <t>Custo da mão-de-obra direta utilizada no serviço</t>
  </si>
  <si>
    <t>Custo com estrutura física, veículos e equipamentos utilizados no serviço c/ B.D.I</t>
  </si>
  <si>
    <t>Custo total mensal</t>
  </si>
  <si>
    <t>Custo por tonelada</t>
  </si>
  <si>
    <t>Descrição do item - Serviço de transporte</t>
  </si>
  <si>
    <t>Custo dos veículos e equipamentos utilizados no serviço c/ B.D.I</t>
  </si>
  <si>
    <t>2. DIMENSIONAMENTO DOS SERVIÇOS</t>
  </si>
  <si>
    <t xml:space="preserve">Para o cálculo do custo do serviço de coleta foram levados em consideração os custos fixos (mão de obra, licenciamento e seguro dos veículos, depreciação, etc.) e os custos variáveis associados à quilometragem percorrida nos itinerários de coleta, como combustível, lubrificantes, pneus, manutenção, entre outros. </t>
  </si>
  <si>
    <t>2.1 Histórico de coleta</t>
  </si>
  <si>
    <t>Mês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</si>
  <si>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</si>
  <si>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</si>
  <si>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</si>
  <si>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</si>
  <si>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</si>
  <si>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</si>
  <si>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</si>
  <si>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</si>
  <si>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</si>
  <si>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</si>
  <si>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</si>
  <si>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</si>
  <si>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Total anual (toneladas)</t>
  </si>
  <si>
    <t>Média mensal (toneladas)</t>
  </si>
  <si>
    <t>Perecentual de incremento (%)</t>
  </si>
  <si>
    <t>Dias úteis de trabalho por mês</t>
  </si>
  <si>
    <t>Percurso médio diário</t>
  </si>
  <si>
    <t>km/dia</t>
  </si>
  <si>
    <t>Percurso médio diário por turno</t>
  </si>
  <si>
    <t>km/dia.turno</t>
  </si>
  <si>
    <t>Horas úteis de trabalho por turno</t>
  </si>
  <si>
    <t>horas/turno</t>
  </si>
  <si>
    <t xml:space="preserve">2.2 Dimensionamento da frota de veículos </t>
  </si>
  <si>
    <t>Dia</t>
  </si>
  <si>
    <t>Rota</t>
  </si>
  <si>
    <t>Quilometragem diária (coleta + transporte) em km</t>
  </si>
  <si>
    <t>Nº de viagens diárias ao aterro</t>
  </si>
  <si>
    <t>Média km/viagem</t>
  </si>
  <si>
    <t>Segunda-feira</t>
  </si>
  <si>
    <t>Belchior Baixo, Central e Alto</t>
  </si>
  <si>
    <t>Centro, Gasparinho, Gaspar Mirim</t>
  </si>
  <si>
    <t>Gaspar Grande, Garuba, Gasparinho</t>
  </si>
  <si>
    <t>Marinha, Águas Negras, Figueira, Rodovia Ivo Silveira</t>
  </si>
  <si>
    <t>Coloninha</t>
  </si>
  <si>
    <t>Bela Vista</t>
  </si>
  <si>
    <t>Terça-feira</t>
  </si>
  <si>
    <t>Macucos, Rua Itajaí</t>
  </si>
  <si>
    <t>Centro, Margem Esquerda (R. Pedro Simon), Lagoa, Morro Grande</t>
  </si>
  <si>
    <t>Margem Esquerda (R. Luiz Franzói), Sertão Verde</t>
  </si>
  <si>
    <t>Santa Teresinha e Cohab Gaspar Mirim</t>
  </si>
  <si>
    <t>São Pedro, Santa Teresinha, Lot. Bom Preço, Lot. Scottini, Bom Jesus/ Marquetti</t>
  </si>
  <si>
    <t>Sete de Setembro</t>
  </si>
  <si>
    <t>Quarta-feira</t>
  </si>
  <si>
    <t>Bateias, Barracão, Rodovia Ivo Silveira</t>
  </si>
  <si>
    <t>Centro, Gasparinho, Alto Gasparinho, Gaspar Mirim</t>
  </si>
  <si>
    <t>Gaspar Grande, Gasparinho, Gaspar Alto, Gaspar Alto Central</t>
  </si>
  <si>
    <t>Quinta-feira</t>
  </si>
  <si>
    <t>Óleo Grande, Rua Itajaí</t>
  </si>
  <si>
    <t>Centro, Margem Esquerda, Arraial Completo</t>
  </si>
  <si>
    <t>Sexta-feira</t>
  </si>
  <si>
    <t>Sábado</t>
  </si>
  <si>
    <t>Centro, Margem Esquerda até o Toni, Lagoa menos R. Olga Zuchi</t>
  </si>
  <si>
    <t>Rua Itajaí, Rodovia Ivo Silveira, Bom Jesus</t>
  </si>
  <si>
    <t>Total semanal</t>
  </si>
  <si>
    <t>Total mensal</t>
  </si>
  <si>
    <t xml:space="preserve">Dia </t>
  </si>
  <si>
    <t>Coleta (km)</t>
  </si>
  <si>
    <t>Transporte (km)</t>
  </si>
  <si>
    <t>km (coleta + transporte)</t>
  </si>
  <si>
    <t>nº de viagens até o aterro</t>
  </si>
  <si>
    <t>Capacidade líquida média das caçambas compactadoras (ton)</t>
  </si>
  <si>
    <t xml:space="preserve">Média de viagens por dia </t>
  </si>
  <si>
    <t>Quantidade de caminhões</t>
  </si>
  <si>
    <t>Média de viagens diárias por veículo</t>
  </si>
  <si>
    <t>Percurso médio mensal de coleta (km)</t>
  </si>
  <si>
    <t>Percurso médio mensal por caminhão efetivo na rota(km)</t>
  </si>
  <si>
    <t>Velocidade média de coleta por caminhão (km/h)</t>
  </si>
  <si>
    <t>Distância de transporte (balança - aterro): 13km x 2 = 26km</t>
  </si>
  <si>
    <t xml:space="preserve">Percurso médio mensal de coleta: </t>
  </si>
  <si>
    <t>km</t>
  </si>
  <si>
    <t xml:space="preserve">Percurso médio mensal de transporte: </t>
  </si>
  <si>
    <t>A composição do custo unitário por tonelada de resíduos recolhida abrange os custos variáveis, como combustível, pneus, lubrificação e lavagem e demais itens de oficina; e os custos fixos, como a depreciação do veículo e do implemento; remuneração do capital; licenciamento e IPVA; seguro obrigatório (DPVAT); salários e encargos dos motoristas, ajudantes de coleta e demais funcionários.</t>
  </si>
  <si>
    <t>2.2.1 Caminhão equipado com caçamba compactadora de capacidade nominal de 15m³ de lixo compactado</t>
  </si>
  <si>
    <r>
      <rPr>
        <i/>
        <sz val="8"/>
        <color indexed="55"/>
        <rFont val="Calibri"/>
        <family val="2"/>
        <charset val="1"/>
      </rPr>
      <t>Especificação:</t>
    </r>
    <r>
      <rPr>
        <sz val="8"/>
        <color indexed="55"/>
        <rFont val="Calibri"/>
        <family val="2"/>
        <charset val="1"/>
      </rPr>
      <t xml:space="preserve"> caminhão coletor, nacional, diesel, câmbio de no mínimo cinco (05) marchas a frente e uma (01) a ré, direção hidráulica, diferencial reduzido, com tacógrafo e equipado com todos  os acessórios exigidos pelo CONTRAN/DENATRAN,  cabina tipo basculante, equipado com coletor compactador de lixo, com capacidade para 15 m³ de lixo compactado na caixa de armazenagem, caixa coletora de chorume, garras de sustentação em toda a lateral e estribo traseiro tipo grelha para acomodação dos trabalhadores da coleta, alerta de marcha ré, entre outros itens de segurança.</t>
    </r>
  </si>
  <si>
    <t>Considerou-se trabalho em 2 turnos de 7,33 horas úteis, com 1 motorista e 2 ajudantes de coleta por caminhão.</t>
  </si>
  <si>
    <t>1º turno</t>
  </si>
  <si>
    <t>2º turno</t>
  </si>
  <si>
    <t>Reserva</t>
  </si>
  <si>
    <t>Total</t>
  </si>
  <si>
    <t xml:space="preserve">Quantidade de caminhões coletores </t>
  </si>
  <si>
    <t>Motoristas</t>
  </si>
  <si>
    <t>Ajudantes de coleta</t>
  </si>
  <si>
    <t>Encarregados de frota</t>
  </si>
  <si>
    <t>Observação: Adotou-se um contingente reserva de 20%.</t>
  </si>
  <si>
    <t>2.2.2 Veículo utilitário com capacidade mínima de carga de 2,5m³ de lixo solto</t>
  </si>
  <si>
    <t>Turno único</t>
  </si>
  <si>
    <t>Quantidade de veículos para a coleta em locais de difícil acesso</t>
  </si>
  <si>
    <t>Quantidade de ajudantes de coleta</t>
  </si>
  <si>
    <t>3. CÁLCULO DO CUSTO DOS VEÍCULOS E EQUIPAMENTOS DE COLETA</t>
  </si>
  <si>
    <t>Descrição do item</t>
  </si>
  <si>
    <t>Frota efetiva</t>
  </si>
  <si>
    <t>Frota reserva</t>
  </si>
  <si>
    <t>R$/veículo</t>
  </si>
  <si>
    <t>R$ total</t>
  </si>
  <si>
    <t>Combustível</t>
  </si>
  <si>
    <t>Manutenção</t>
  </si>
  <si>
    <t>Pneus</t>
  </si>
  <si>
    <t xml:space="preserve">Lubrificação </t>
  </si>
  <si>
    <t>Lavação</t>
  </si>
  <si>
    <t>Licenciamento e seguros</t>
  </si>
  <si>
    <t>Depreciação</t>
  </si>
  <si>
    <t>Remuneração do capital investido</t>
  </si>
  <si>
    <t>Rastreamento e monitoramento</t>
  </si>
  <si>
    <t>Total mensal (R$)</t>
  </si>
  <si>
    <t>3.1 Caminhão equipado com caçamba compactadora - capacidade nominal de carga de 15 m³ de lixo compactado</t>
  </si>
  <si>
    <t xml:space="preserve">FROTA EFETIVA </t>
  </si>
  <si>
    <t>Caçamba compactadora</t>
  </si>
  <si>
    <t>Caminhão (chassi)*</t>
  </si>
  <si>
    <t>Quantidade de veículos (unidade)</t>
  </si>
  <si>
    <t>Quantidade de veículos reserva (unidade)</t>
  </si>
  <si>
    <t>FROTA RESERVA</t>
  </si>
  <si>
    <t>Valor do veículo (R$) usado, acima de 5 anos</t>
  </si>
  <si>
    <t xml:space="preserve">3.1.1 Combustível </t>
  </si>
  <si>
    <t>Custo do combustível (R$/litro)</t>
  </si>
  <si>
    <t>Consumo do veículo (Km/litro)</t>
  </si>
  <si>
    <t>Total de litros/mês</t>
  </si>
  <si>
    <t>Custo mensal (R$)</t>
  </si>
  <si>
    <t>Custo por veículo efetivo (R$/veículo)</t>
  </si>
  <si>
    <t>3.1.2 Manutenção (peças, acessórios e material de manutenção)</t>
  </si>
  <si>
    <t xml:space="preserve">Valor do equipamento </t>
  </si>
  <si>
    <t>Fator de manutenção (correspondente a 1% do valor do veículo completo, sem pneus, por mês)</t>
  </si>
  <si>
    <t>Custo mensal (R$/veículo)</t>
  </si>
  <si>
    <t>Custo mensal total da frota efetiva (R$)</t>
  </si>
  <si>
    <t>3.1.3 Pneus</t>
  </si>
  <si>
    <t>Referência: Pneu radial 275/80 R22,5</t>
  </si>
  <si>
    <t xml:space="preserve">Custo médio pneu novo (CN): </t>
  </si>
  <si>
    <t>Vida útil, em km, de um pneu novo (VN)= 20.000km</t>
  </si>
  <si>
    <t xml:space="preserve">Número de recapagens (R) </t>
  </si>
  <si>
    <t>Número de rodas por veículo (N)</t>
  </si>
  <si>
    <t>Vida útil, em km, de um pneu recapado -considerou-se um rendimento de 80% com cada recapagem (VR)=  16.000km</t>
  </si>
  <si>
    <t xml:space="preserve">Custo de uma recapagem (CR)= </t>
  </si>
  <si>
    <t>Custo do km rodado (Fonte: Lixo Municipal: Manual de Gerenciamento Integrado, 3º ed. São Paulo: CEMPRE, 2010)</t>
  </si>
  <si>
    <t>CPK = (NxCN + RxCR)/(VN + RxVR)</t>
  </si>
  <si>
    <t>Total mensal (R$/veículo)</t>
  </si>
  <si>
    <t>3.1.4 Lubrificantes</t>
  </si>
  <si>
    <t xml:space="preserve">Óleo do motor </t>
  </si>
  <si>
    <t>Cárter (quantidade de litros)</t>
  </si>
  <si>
    <t>Preço do óleo (R$/litro)</t>
  </si>
  <si>
    <t>Ref. SAE40</t>
  </si>
  <si>
    <t>Frequência de troca (km)</t>
  </si>
  <si>
    <t>Custo (R$/km)</t>
  </si>
  <si>
    <t>Custo mensal por veículo (R$)</t>
  </si>
  <si>
    <t>Custo mensal total (R$)</t>
  </si>
  <si>
    <t>Transmissão/Diferencial</t>
  </si>
  <si>
    <t>Quantidade de litros (caixa de transmissão)</t>
  </si>
  <si>
    <t>Quantidade de litros (diferencial)</t>
  </si>
  <si>
    <t>Preço do óleo de transmissão (R$/litro)</t>
  </si>
  <si>
    <t>Preço do óleo diferencial (R$/litro)</t>
  </si>
  <si>
    <t>Ref. 85M-140</t>
  </si>
  <si>
    <t>serviço pesado</t>
  </si>
  <si>
    <t>Comandos hidráulicos</t>
  </si>
  <si>
    <t>Quantidade de litros reservatório hidráulico</t>
  </si>
  <si>
    <t>Preço (R$/litro)</t>
  </si>
  <si>
    <t>Frequêcia de troca (horas)</t>
  </si>
  <si>
    <t>Custo por hora (R$/h)</t>
  </si>
  <si>
    <t>horas/mês</t>
  </si>
  <si>
    <t>Filtros</t>
  </si>
  <si>
    <t xml:space="preserve">Filtros (filtro de óleo, diesel e de combustível) </t>
  </si>
  <si>
    <t>Frequência de troca dos filtros (km)</t>
  </si>
  <si>
    <t xml:space="preserve">Filtros (filtro de ar) </t>
  </si>
  <si>
    <t>Frequência de troca (filtro de ar) (km)</t>
  </si>
  <si>
    <t xml:space="preserve">Graxas </t>
  </si>
  <si>
    <t>Custo por kg</t>
  </si>
  <si>
    <t>Consumo (kg/km rodado)</t>
  </si>
  <si>
    <t>Consumo de graxa (kg)</t>
  </si>
  <si>
    <t>3.1.5 Lavação</t>
  </si>
  <si>
    <t>Verba para lavação (R$/veículo) (uma ducha ao final de cada turno e uma lavagem completa por semana)</t>
  </si>
  <si>
    <t>Quantidade de  veículos</t>
  </si>
  <si>
    <t>Custo mensal total de lavação (R$)</t>
  </si>
  <si>
    <t>3.1.6 Licenciamento e seguros</t>
  </si>
  <si>
    <t>Seguro obrigatório</t>
  </si>
  <si>
    <t>IPVA (1,5% alíquota x valor do veículo)</t>
  </si>
  <si>
    <t>Seguro total (aprox.4,0% do custo do veículo)</t>
  </si>
  <si>
    <t>Licenciamento</t>
  </si>
  <si>
    <t>Total anual por veículo (R$)</t>
  </si>
  <si>
    <t>Total mensal por veículo (R$)</t>
  </si>
  <si>
    <t>Total mensal da frota (R$)</t>
  </si>
  <si>
    <t>3.1.7 Depreciação</t>
  </si>
  <si>
    <t>A depreciação será calculada em função da vida útil do chassi, do equipamento e seus respectivos valores.</t>
  </si>
  <si>
    <t>Será considerado um valor residual de 20% para o chassi e 0% para o equipamento (caçamba compactadora).</t>
  </si>
  <si>
    <t>Método da depreciação linear</t>
  </si>
  <si>
    <t xml:space="preserve">Valor de aquisição do chassi </t>
  </si>
  <si>
    <t xml:space="preserve">Valor residual do chassi: 20,00% </t>
  </si>
  <si>
    <r>
      <rPr>
        <sz val="8"/>
        <color indexed="55"/>
        <rFont val="Calibri"/>
        <family val="2"/>
        <charset val="1"/>
      </rPr>
      <t xml:space="preserve">Vida útil (meses) </t>
    </r>
    <r>
      <rPr>
        <i/>
        <sz val="8"/>
        <color indexed="55"/>
        <rFont val="Calibri"/>
        <family val="2"/>
        <charset val="1"/>
      </rPr>
      <t>(Fonte: IN SRF nº 72/84)</t>
    </r>
  </si>
  <si>
    <t>Taxa anual de depreciação (Lei 3.470/1958, artigo 69)</t>
  </si>
  <si>
    <t>depreciação acelerada</t>
  </si>
  <si>
    <t>Custo mensal de depreciação do chassi (R$/caminhão)</t>
  </si>
  <si>
    <t>Custo mensal total de depreciação dos chassis (R$)</t>
  </si>
  <si>
    <t>Valor de aquisição do equipamento</t>
  </si>
  <si>
    <t xml:space="preserve">Valor residual do equipamento: 0,00%  </t>
  </si>
  <si>
    <t xml:space="preserve">Vida útil (meses) </t>
  </si>
  <si>
    <t>Custo mensal de depreciação do equipamento (R$/equipamento)</t>
  </si>
  <si>
    <t>Custo mensal de depreciação dos equipamentos (R$)</t>
  </si>
  <si>
    <t xml:space="preserve">Obs.: Considerando que a idade do veículo reserva ultrapassa a vida útil padrão para frota (5 anos), não será contabilizado seu custo de depreciação. </t>
  </si>
  <si>
    <t>3.1.8 Remuneração do capital investido</t>
  </si>
  <si>
    <t>Método do custo médio mensal baseado na depreciação linear</t>
  </si>
  <si>
    <t xml:space="preserve">Fonte: Lixo Municipal: Manual de Gerenciamento Integrado. Coordenação: André Vilhena. 3ª ed. São Paulo: CEMPRE, 2010. </t>
  </si>
  <si>
    <t>O coeficiente anual de remuneração do capital (RC), calculado com base no valor médio de investimento ao longo de sua vida útil é obtido pela seguinte fórmula:</t>
  </si>
  <si>
    <t>RC = [2 + (VU - 1)*(1-VR/100)] / 2*VU</t>
  </si>
  <si>
    <t>RC – Coeficiente  anual de remuneração de capital</t>
  </si>
  <si>
    <t xml:space="preserve">VR – Valor residual, expresso como uma porcentagem do preço do veículo novo = 20% </t>
  </si>
  <si>
    <t>VU – Vida útil do veículo em anos = 3,33 anos</t>
  </si>
  <si>
    <t xml:space="preserve">RC = </t>
  </si>
  <si>
    <t>Valor da parcela mensal por veículo:</t>
  </si>
  <si>
    <t>Prc=</t>
  </si>
  <si>
    <t>Considerando que a frota reserva já foi depreciada, a remuneração do capital investido será calculada sobre os 4 veículos efetivos.</t>
  </si>
  <si>
    <t>Remuneração do capital investido (por veículo)</t>
  </si>
  <si>
    <t>Remuneração do capital investido (total)</t>
  </si>
  <si>
    <t>3.1.9 Sistema de rastreamento de frota</t>
  </si>
  <si>
    <t>Custo de instalação e ativação do equipamento* (R$/veículo.ano)</t>
  </si>
  <si>
    <t>*Pesquisa de mercado</t>
  </si>
  <si>
    <t>Custo da mensalidade por veículo (monitoramento via WEB)</t>
  </si>
  <si>
    <t>Custo mensal por veículo (R$/veículo)</t>
  </si>
  <si>
    <t>Custo total mensal da frota efetiva e reserva (R$)</t>
  </si>
  <si>
    <t xml:space="preserve">3.2 Veículo utilitário </t>
  </si>
  <si>
    <t xml:space="preserve">Custo total (R$) </t>
  </si>
  <si>
    <t>Lubrificação e lavação</t>
  </si>
  <si>
    <t>Sistema de rastreamento</t>
  </si>
  <si>
    <t>Total (R$/mês)</t>
  </si>
  <si>
    <t xml:space="preserve">Características do veículo: motor 1.4, com caçamba ou baú com capacidade mínima de carga de 2,5m³ </t>
  </si>
  <si>
    <t>Valor de cada equipamento (R$)*</t>
  </si>
  <si>
    <t>seminovo</t>
  </si>
  <si>
    <t>Percurso médio mensal do veículo de apoio para coleta (km)</t>
  </si>
  <si>
    <t>Obs.: A Contratada assinará um termo onde se compromete a disponibilizar um veículo extra, no prazo máximo de 48 (quarenta e oito) horas, em caso de ocorrências de qualquer tipo que deixem o veículo inoperante.</t>
  </si>
  <si>
    <t xml:space="preserve">3.2.1 Combustível </t>
  </si>
  <si>
    <t>Total mensal (R$/mês)</t>
  </si>
  <si>
    <t xml:space="preserve">3.2.2 Manutenção </t>
  </si>
  <si>
    <t>Valor do equipamento</t>
  </si>
  <si>
    <t>3.2.3 Pneus</t>
  </si>
  <si>
    <t>Referência: Pneu radial 185/70 R14</t>
  </si>
  <si>
    <t>Considerar-se-á uma troca de pneus a cada 30.000km</t>
  </si>
  <si>
    <t xml:space="preserve">Custo médio pneu novo: </t>
  </si>
  <si>
    <t>4 pneus/veículo</t>
  </si>
  <si>
    <t>Custo do km rodado</t>
  </si>
  <si>
    <t>CPK = 4*260/30000 = 0,034667</t>
  </si>
  <si>
    <t>Total mensal  (R$/veículo.mês)</t>
  </si>
  <si>
    <t>3.2.4 Lubrificação e lavação</t>
  </si>
  <si>
    <t xml:space="preserve">Motor </t>
  </si>
  <si>
    <t>Ref. 5W40</t>
  </si>
  <si>
    <t>Custo mensal (R$/mês)</t>
  </si>
  <si>
    <t>Custo dos filtros (motor, combustível e ar)(R$)</t>
  </si>
  <si>
    <t>Filtro de óleo</t>
  </si>
  <si>
    <t xml:space="preserve"> Filtro de ar</t>
  </si>
  <si>
    <t>Filtro de comb.</t>
  </si>
  <si>
    <t>Verba para lavação (R$/veículo.mês) (considerando uma ducha diária e uma lavagem completa por semana</t>
  </si>
  <si>
    <t>Quantidade de veículos</t>
  </si>
  <si>
    <t>3.2.5 Licenciamento e seguros</t>
  </si>
  <si>
    <t>IPVA (2,5% alíquota x valor do veículo)</t>
  </si>
  <si>
    <t>Seguro total (4,0%)</t>
  </si>
  <si>
    <t>3.2.6 Depreciação</t>
  </si>
  <si>
    <t>Valor de aquisição do veículo (R$)</t>
  </si>
  <si>
    <t>Valor residual do veículo: 20,00% (não depreciável)</t>
  </si>
  <si>
    <r>
      <rPr>
        <sz val="8"/>
        <color indexed="55"/>
        <rFont val="Calibri"/>
        <family val="2"/>
        <charset val="1"/>
      </rPr>
      <t xml:space="preserve">Vida útil (anos) </t>
    </r>
    <r>
      <rPr>
        <i/>
        <sz val="8"/>
        <color indexed="55"/>
        <rFont val="Calibri"/>
        <family val="2"/>
        <charset val="1"/>
      </rPr>
      <t>(Fonte: IN SRF nº 72/84)</t>
    </r>
  </si>
  <si>
    <t>Taxa anual de depreciação</t>
  </si>
  <si>
    <t>3.2.7 Remuneração do capital investido</t>
  </si>
  <si>
    <t>O coeficiente anual de remuneração do capital (RC), calculado com base no valor médio de investimento ao longo de sua vida útil é calculado pela seguinte fórmula:</t>
  </si>
  <si>
    <t>VU – Vida útil do veículo em anos = 2 anos</t>
  </si>
  <si>
    <t>3.2.8 Sistema de rastreamento</t>
  </si>
  <si>
    <t>Custo de instalação e ativação do equipamento (R$/veículo.ano)</t>
  </si>
  <si>
    <t xml:space="preserve">Item </t>
  </si>
  <si>
    <t>Valor</t>
  </si>
  <si>
    <t>Caminhões equipados com caçamba compactadora</t>
  </si>
  <si>
    <t>Veículo de apoio (utilitário)</t>
  </si>
  <si>
    <t>Sub-total</t>
  </si>
  <si>
    <t>B.D.I (24,30%)</t>
  </si>
  <si>
    <t>4. ESTRUTURA FÍSICO-ADMINISTRATIVA (administração local e mobilização)</t>
  </si>
  <si>
    <t xml:space="preserve">Descrição do item </t>
  </si>
  <si>
    <t>Verba para locação/instalação de unidade técnica operacional (incluindo garagem, área de depósito, vestiários, refeitório, escritório)</t>
  </si>
  <si>
    <t>OBSERVAÇÃO: As despesas associadas ao escritório, tais como salário de diretores, gerentes e secretários, atividades de supervisão geral, incluindo planejamento, consultoria, controle de qualidade e suporte aos contratos, setores de engenharia e arquitetura, logística, compras, dentre outros, servindo de apoio à execução de diversas obras e os serviços necessários à manutenção e ao funcionamento da estrutura administrativa da empresa, que atendem a vários setores e áreas comuns, como: vigilância, segurança, contas telefônicas, conservação, limpeza de edifícios etc. deverão ser embutidos no item Administração Central que compõe a planilha de B.D.I.</t>
  </si>
  <si>
    <t>5. MÃO DE OBRA ASSOCIADA AO SERVIÇO DE COLETA</t>
  </si>
  <si>
    <t>Categoria profissional</t>
  </si>
  <si>
    <t>Quantidade</t>
  </si>
  <si>
    <t>Custo unitário (R$)</t>
  </si>
  <si>
    <t>Custo total (R$)</t>
  </si>
  <si>
    <t xml:space="preserve">5.1 </t>
  </si>
  <si>
    <t>Mão de obra direta</t>
  </si>
  <si>
    <t>5.1.1</t>
  </si>
  <si>
    <t>Ajudante de coleta</t>
  </si>
  <si>
    <t>5.1.2</t>
  </si>
  <si>
    <t>Motorista (100%)</t>
  </si>
  <si>
    <t>5.1.3</t>
  </si>
  <si>
    <t>Motorista (87,7%)</t>
  </si>
  <si>
    <t>5.1.4</t>
  </si>
  <si>
    <t>5.2</t>
  </si>
  <si>
    <t>Mão de obra indireta</t>
  </si>
  <si>
    <t>5.2.1</t>
  </si>
  <si>
    <t>Responsável técnico</t>
  </si>
  <si>
    <t>6. RESUMO DO CUSTO DO SERVIÇO DE COLETA</t>
  </si>
  <si>
    <t>Descrição</t>
  </si>
  <si>
    <t xml:space="preserve">Custo com B.D.I </t>
  </si>
  <si>
    <t>Custo em R$/ton</t>
  </si>
  <si>
    <t>6.1</t>
  </si>
  <si>
    <t>Veículos e equipamentos</t>
  </si>
  <si>
    <t>6.2</t>
  </si>
  <si>
    <t>Estrutura físico-administrativa</t>
  </si>
  <si>
    <t>6.3</t>
  </si>
  <si>
    <t>Mão de obra</t>
  </si>
  <si>
    <t>7. CÁLCULO DO CUSTO DO SERVIÇO DE TRANSPORTE</t>
  </si>
  <si>
    <t>Percurso médio mensal de transporte</t>
  </si>
  <si>
    <t>Quantidade de caminhões efetivos nas rotas</t>
  </si>
  <si>
    <t>caminhões</t>
  </si>
  <si>
    <t>A etapa de transbordo será dispensada. Os caminhões compactadores, após esgotada a capacidade de carga da caçamba, dirigir-se-ão para a balança e, na sequência, para o aterro sanitário.</t>
  </si>
  <si>
    <t xml:space="preserve">Os itens que compõem o custo do serviço de transporte são aqueles que apresentam relação com a quilometragem percorrida, tais como: consumo de combustível, lubrificação e pneus, além da mão de obra parcial dos motoristas. </t>
  </si>
  <si>
    <t>7.1 Custo dos veículos de transporte</t>
  </si>
  <si>
    <t xml:space="preserve">7.1.1 Combustível </t>
  </si>
  <si>
    <t>Custo total mensal (R$)</t>
  </si>
  <si>
    <t>7.1.2 Pneus</t>
  </si>
  <si>
    <t>Vida útil, em km, de um pneu novo (VN)= 20.000</t>
  </si>
  <si>
    <t>Vida útil, em km, de um pneu recapado -considerou-se um rendimento de 80% com cada recapagem (VR)= 16.000 km</t>
  </si>
  <si>
    <t>Custo mensal por veículo (R$/veículo.mês)</t>
  </si>
  <si>
    <t>7.1.3 Lubrificantes</t>
  </si>
  <si>
    <t>7.1.4 Resumo dos custos associados aos veículos de transporte</t>
  </si>
  <si>
    <t>Custo por veículo (R$)</t>
  </si>
  <si>
    <t>Lubrificação</t>
  </si>
  <si>
    <t>7.2 Mão de obra associada ao transporte</t>
  </si>
  <si>
    <t>Velocidade dos veículos durante o transporte:</t>
  </si>
  <si>
    <t>km/h</t>
  </si>
  <si>
    <t>Trajeto percorrido por viagem até o aterro (ida e volta)</t>
  </si>
  <si>
    <t>Tempo de deslocamento de 1 viagem</t>
  </si>
  <si>
    <t xml:space="preserve">hora </t>
  </si>
  <si>
    <t>Tempo de descarga no aterro</t>
  </si>
  <si>
    <t>hora</t>
  </si>
  <si>
    <t>Tempo total por viagem</t>
  </si>
  <si>
    <t>horas</t>
  </si>
  <si>
    <t>Quantidade de viagens por mês</t>
  </si>
  <si>
    <t>viagens</t>
  </si>
  <si>
    <t xml:space="preserve">Quantidade mensal de horas de transporte </t>
  </si>
  <si>
    <t>Quantidade mensal total de horas dos motoristas</t>
  </si>
  <si>
    <t>Quantidade mensal total de horas produtivas dos motoristas</t>
  </si>
  <si>
    <t>Percentual de horas produtivas vinculadas ao serviço de transporte</t>
  </si>
  <si>
    <t xml:space="preserve">Motorista </t>
  </si>
  <si>
    <t>Motorista (12,3% do salário total)</t>
  </si>
  <si>
    <t>Custo por tonelada (1.391,00 ton/mês)</t>
  </si>
  <si>
    <t>7.3 Resumo dos custos com transporte</t>
  </si>
  <si>
    <t>7.3.1</t>
  </si>
  <si>
    <t>7.3.2</t>
  </si>
  <si>
    <t>MEMORIAL DE CÁLCULO - COMPOSIÇÃO DOS CUSTOS DOS SERVIÇOS DE COLETA E TRANSPORTE DE RESÍDUOS SÓLIDOS RECICLÁVEIS</t>
  </si>
  <si>
    <t>1 - RESUMO DO CUSTO DOS SERVIÇOS</t>
  </si>
  <si>
    <t>Custo mensal com B.D.I</t>
  </si>
  <si>
    <t>1. Serviço de coleta seletiva</t>
  </si>
  <si>
    <t>Mão de obra operacional direta</t>
  </si>
  <si>
    <t>Veículos de coleta e fiscalização</t>
  </si>
  <si>
    <t>2. Serviço de transporte</t>
  </si>
  <si>
    <t>Custo mensal estimado para o transporte</t>
  </si>
  <si>
    <t>CUSTO TOTAL MENSAL DOS SERVIÇOS (2 equipes)</t>
  </si>
  <si>
    <t>CUSTO POR EQUIPE</t>
  </si>
  <si>
    <t>2- DIMENSIONAMENTO DOS SERVIÇOS</t>
  </si>
  <si>
    <t>Quantidade média diária de resíduos (ton/dia) considerando 22 dias úteis/mês</t>
  </si>
  <si>
    <t>2.2 Percurso de coleta</t>
  </si>
  <si>
    <t>Dia da semana</t>
  </si>
  <si>
    <t>Percurso médio (km)</t>
  </si>
  <si>
    <t>Segunda</t>
  </si>
  <si>
    <t>Margem Esquerda e Sertão Verde</t>
  </si>
  <si>
    <t>Terça</t>
  </si>
  <si>
    <t>Gasparinho</t>
  </si>
  <si>
    <t>Gaspar Grande</t>
  </si>
  <si>
    <t>COHAB Gaspar Mirim</t>
  </si>
  <si>
    <t>Alto Gasparinho</t>
  </si>
  <si>
    <t>Gaspar Alto e Central</t>
  </si>
  <si>
    <t>Gaspar Mirim (incluindo as Ruas São Bento e Fausto Dagnoni e suas transversais)</t>
  </si>
  <si>
    <t>Quarta</t>
  </si>
  <si>
    <t>Arraial D'Ouro/Lagoa/Localidade Morro Grande/São Pedro</t>
  </si>
  <si>
    <t>Poço Grande</t>
  </si>
  <si>
    <t>Belchior Baixo/Central</t>
  </si>
  <si>
    <t>Belchior Alto</t>
  </si>
  <si>
    <t>Quinta</t>
  </si>
  <si>
    <t>Figueira/Localidade Garuba e Águas Negras</t>
  </si>
  <si>
    <t>Sexta</t>
  </si>
  <si>
    <t>Bateias/Barracão/ Localidade Óleo Grande/ Macucos</t>
  </si>
  <si>
    <t>Santa Teresinha</t>
  </si>
  <si>
    <t>Centro</t>
  </si>
  <si>
    <t>Informações para o dimensionamento:</t>
  </si>
  <si>
    <t xml:space="preserve">Quantidade média de resíduos transportada na carroceria tipo báu de 20m³ </t>
  </si>
  <si>
    <t>ton/carga</t>
  </si>
  <si>
    <t>Média de viagens diárias total</t>
  </si>
  <si>
    <t>viagens/dia</t>
  </si>
  <si>
    <t>viagens/dia.veículo</t>
  </si>
  <si>
    <t>Quantidade de caminhões por turno</t>
  </si>
  <si>
    <t>caminhões/turno</t>
  </si>
  <si>
    <t>Turnos de trabalho</t>
  </si>
  <si>
    <t>turno</t>
  </si>
  <si>
    <t>Percurso médio mensal de coleta por caminhão (km)</t>
  </si>
  <si>
    <t>km/veículo.mês</t>
  </si>
  <si>
    <t>Percurso médio diário total</t>
  </si>
  <si>
    <t xml:space="preserve">Velocidade média de coleta por caminhão </t>
  </si>
  <si>
    <t>km/h.caminhão</t>
  </si>
  <si>
    <t xml:space="preserve">2.3 Veículos de coleta </t>
  </si>
  <si>
    <t>2.3.1 Caminhão toco equipado com carroceria do tipo baú</t>
  </si>
  <si>
    <r>
      <rPr>
        <i/>
        <sz val="8"/>
        <color indexed="55"/>
        <rFont val="Calibri"/>
        <family val="2"/>
        <charset val="1"/>
      </rPr>
      <t>Especificação:</t>
    </r>
    <r>
      <rPr>
        <sz val="8"/>
        <color indexed="55"/>
        <rFont val="Calibri"/>
        <family val="2"/>
        <charset val="1"/>
      </rPr>
      <t xml:space="preserve"> caminhão nacional, toco, a diesel, câmbio de no mínimo cinco (05) marchas a frente e uma (01) a ré, direção hidráulica, diferencial reduzido, com tacógrafo e todos  os acessórios exigidos pelo CONTRAN/DENATRAN, equipado com carroceria do tipo baú  com capacidade média de armazenamento de 20 m³ de lixo solto.</t>
    </r>
  </si>
  <si>
    <t>2.3.2 Veículo utilitário de apoio</t>
  </si>
  <si>
    <t>Veículo utilitário com motor 1.4 ou superior, com capacidade para 2 pessoas, 2 portas, para coleta de resíduos recicláveis em locais de difícil acesso pelo caminhão coletor e uso do encarregado de frota.</t>
  </si>
  <si>
    <t>2.3.3 Resumo da frota</t>
  </si>
  <si>
    <t>Tipo de veículo</t>
  </si>
  <si>
    <t>Quant. Efetiva</t>
  </si>
  <si>
    <t>Quant. Reserva</t>
  </si>
  <si>
    <t>Caminhão com caçamba tipo baú</t>
  </si>
  <si>
    <t>Utilitário tipo pick up</t>
  </si>
  <si>
    <t>2.4 Equipes de coleta (mão de obra operacional direta)</t>
  </si>
  <si>
    <r>
      <rPr>
        <sz val="8"/>
        <color indexed="55"/>
        <rFont val="Calibri"/>
        <family val="2"/>
        <charset val="1"/>
      </rPr>
      <t>Será adotado o efetivo de</t>
    </r>
    <r>
      <rPr>
        <b/>
        <sz val="8"/>
        <color indexed="55"/>
        <rFont val="Calibri"/>
        <family val="2"/>
        <charset val="1"/>
      </rPr>
      <t xml:space="preserve"> 2 equipes de coleta por turno</t>
    </r>
    <r>
      <rPr>
        <sz val="8"/>
        <color indexed="55"/>
        <rFont val="Calibri"/>
        <family val="2"/>
        <charset val="1"/>
      </rPr>
      <t>, cada qual composta de 1 motorista e 2 ajudantes de coleta.</t>
    </r>
  </si>
  <si>
    <t>A coleta dos resíduos recicláveis nas ruas de difícil acesso pelo caminhão coletor será realizada pelo encarregado de frota e/ou um ajudante de coleta da equipe reserva da empresa.</t>
  </si>
  <si>
    <t>Considerar-se-á um contingente reserva de 20%, de forma a cobrir as ausências por motivos de férias, faltas justificadas, etc.</t>
  </si>
  <si>
    <t>Unidade</t>
  </si>
  <si>
    <t>Quant. efetiva</t>
  </si>
  <si>
    <t xml:space="preserve">Quant. adotada </t>
  </si>
  <si>
    <t>funcionário</t>
  </si>
  <si>
    <t>OBSERVAÇÃO: Os gastos associados ao escritório, tais como salário de diretores, gerentes e secretários, atividades de supervisão geral, incluindo planejamento, consultoria, controle de qualidade e suporte aos contratos, setores de engenharia e arquitetura, logística, compras, dentre outros, servindo de apoio à execução de diversas obras e os serviços necessários à manutenção e ao funcionamento da estrutura administrativa da empresa, que atendem a vários setores e áreas comuns, como: vigilância, segurança, contas telefônicas, conservação, limpeza de edifícios etc. deverão ser embutidos no item Administração Central que compõe a planilha de B.D.I.</t>
  </si>
  <si>
    <t>3. CUSTO DOS VEÍCULOS E EQUIPAMENTOS DE COLETA</t>
  </si>
  <si>
    <t xml:space="preserve">3.1 Resumo dos custos com a frota de coleta </t>
  </si>
  <si>
    <t>3.2 Caminhão equipado com carroceria tipo baú - capacidade de carga de 25 m³ de lixo solto</t>
  </si>
  <si>
    <t>Valor do veículo (R$) idade média de 3 anos</t>
  </si>
  <si>
    <t>Carroceria tipo baú</t>
  </si>
  <si>
    <t>Percurso médio mensal total (km)</t>
  </si>
  <si>
    <t>3.2.2 Manutenção (peças, acessórios e material de manutenção)</t>
  </si>
  <si>
    <t>Referência: Pneu radial 275/75 R17,5</t>
  </si>
  <si>
    <t>Obs.: Pesquisa de mercado através de site de vendas pela internet</t>
  </si>
  <si>
    <t>Fonte: https://www.dti.ufv.br/dtr/plancusto/plan.htm</t>
  </si>
  <si>
    <t>Vida útil, em km, de um pneu recapado. Considerou-se um rendimento de 100% com cada recapagem (VR)=  20.000km</t>
  </si>
  <si>
    <t>3.2.4 Lubrificantes</t>
  </si>
  <si>
    <t>Frequência de troca (km)*</t>
  </si>
  <si>
    <t>* Fonte: http://blogcaminhao.mercedes-benz.com.br/novos-intervalos-de-troca-de-oleo/</t>
  </si>
  <si>
    <t>3.2.5 Lavação</t>
  </si>
  <si>
    <t>Verba para lavação (R$/veículo) (uma lavagem completa por semana)</t>
  </si>
  <si>
    <t>3.2.6 Licenciamento e seguros</t>
  </si>
  <si>
    <t>3.2.7 Depreciação</t>
  </si>
  <si>
    <t>A depreciação será calculada em função da vida útil do chassi, do equipamento e seus respectivos valores. Considerando uma frota com idade média de 3 anos, os veículos serão depreciados por mais 2 anos.</t>
  </si>
  <si>
    <t>3.2.8 Remuneração do capital investido</t>
  </si>
  <si>
    <t>Considerando que a frota reserva já foi depreciada, a remuneração do capital investido será calculada sobre os 2 veículos efetivos.</t>
  </si>
  <si>
    <t>3.2.9 Sistema de rastreamento dos veículos</t>
  </si>
  <si>
    <t>3.3 Veículo utilitário de apoio</t>
  </si>
  <si>
    <t>3.3.1 Resumo dos custos com o veículo utilitário</t>
  </si>
  <si>
    <t>Custo do capital investido</t>
  </si>
  <si>
    <t>Valor do veículo (R$)* com 3 anos de uso</t>
  </si>
  <si>
    <t>Percurso médio mensal do veículo de apoio para coleta e fiscalização (km)</t>
  </si>
  <si>
    <t xml:space="preserve">3.3.2 Combustível </t>
  </si>
  <si>
    <t>Consumo do veículo (Km/litro) na cidade</t>
  </si>
  <si>
    <t xml:space="preserve">3.3.3 Manutenção </t>
  </si>
  <si>
    <t>3.3.4 Pneus</t>
  </si>
  <si>
    <t>3.3.5 Lubrificação e lavação</t>
  </si>
  <si>
    <t>Verba para lavação (R$/veículo.mês) (considerando uma lavagem completa por semana)</t>
  </si>
  <si>
    <t>3.3.6 Licenciamento e seguros</t>
  </si>
  <si>
    <t>3.3.7 Depreciação</t>
  </si>
  <si>
    <t>3.3.8 Remuneração do capital investido</t>
  </si>
  <si>
    <t>3.3.9 Monitoramento e rastreamento dos veículos</t>
  </si>
  <si>
    <t>3.4 RESUMO DOS CUSTOS COM OS VEÍCULOS DE COLETA</t>
  </si>
  <si>
    <t>Caminhões equipados com carroceria baú</t>
  </si>
  <si>
    <t>B.D.I</t>
  </si>
  <si>
    <t>4 - Resumo dos custos com veículos e equipamentos</t>
  </si>
  <si>
    <t>TOTAL  MENSAL</t>
  </si>
  <si>
    <t>5. SERVIÇO DE TRANSPORTE DOS RESÍDUOS RECICLÁVEIS</t>
  </si>
  <si>
    <t>Distância da balança da Prefeitura até a unidade de triagem (estimativa)</t>
  </si>
  <si>
    <t>Custo do transporte (R$/tonelada)</t>
  </si>
  <si>
    <t>Custo do transporte c/ B.D.I (R$/tonelada)</t>
  </si>
  <si>
    <t>Custo mensal estimado para o transporte (considerando 130 ton/mês)</t>
  </si>
  <si>
    <t>PLANILHA ORÇAMENTÁRIA GERAL</t>
  </si>
  <si>
    <t>Serviço de coleta convencional</t>
  </si>
  <si>
    <t>1.1.1</t>
  </si>
  <si>
    <t>profissional</t>
  </si>
  <si>
    <t>1.1.2</t>
  </si>
  <si>
    <t>1.1.3</t>
  </si>
  <si>
    <t>Motorista (87,3%)</t>
  </si>
  <si>
    <t>1.1.4</t>
  </si>
  <si>
    <t>1.1.5</t>
  </si>
  <si>
    <t xml:space="preserve">Responsável técnico </t>
  </si>
  <si>
    <t>Sub-total (incluindo taxa administ., lucro e tributos)</t>
  </si>
  <si>
    <t xml:space="preserve">Veículos </t>
  </si>
  <si>
    <t>1.2.1</t>
  </si>
  <si>
    <t>Frota efetiva - caminhões  equipados com caçamba compactadora</t>
  </si>
  <si>
    <t>1.2.1.1</t>
  </si>
  <si>
    <t>Combustível (diesel S10)</t>
  </si>
  <si>
    <t>litro</t>
  </si>
  <si>
    <t>1.2.1.2</t>
  </si>
  <si>
    <t xml:space="preserve">Manutenção </t>
  </si>
  <si>
    <t>veículo</t>
  </si>
  <si>
    <t>1.2.1.3</t>
  </si>
  <si>
    <t xml:space="preserve">Pneus </t>
  </si>
  <si>
    <t>1.2.1.4</t>
  </si>
  <si>
    <t>1.2.1.5</t>
  </si>
  <si>
    <t>1.2.1.6</t>
  </si>
  <si>
    <t>1.2.1.7</t>
  </si>
  <si>
    <t xml:space="preserve">Depreciação </t>
  </si>
  <si>
    <t>1.2.1.8</t>
  </si>
  <si>
    <t>1.2.2</t>
  </si>
  <si>
    <t>Frota reserva - caminhão equipado com caçamba compactadora</t>
  </si>
  <si>
    <t>1.2.2.1</t>
  </si>
  <si>
    <t>1.2.2.2</t>
  </si>
  <si>
    <t>1.2.3</t>
  </si>
  <si>
    <t xml:space="preserve">Veículo utilitário para coleta </t>
  </si>
  <si>
    <t>Combustível (gasolina comum)</t>
  </si>
  <si>
    <t>1.2.2.3</t>
  </si>
  <si>
    <t>1.2.3.4</t>
  </si>
  <si>
    <t>1.2.2.5</t>
  </si>
  <si>
    <t>1.2.2.6</t>
  </si>
  <si>
    <t>1.2.2.7</t>
  </si>
  <si>
    <t>1.2.2.8</t>
  </si>
  <si>
    <t>1.3.1</t>
  </si>
  <si>
    <t>Locação/instalação de unidade técnica operacional (incluindo garagem, área de depósito, vestiários, refeitório, escritório)</t>
  </si>
  <si>
    <t>verba</t>
  </si>
  <si>
    <t>Sub-total item 1.2 + 1.3 B.D.I</t>
  </si>
  <si>
    <t>Custo do serviço de coleta (R$)</t>
  </si>
  <si>
    <t>Custo do serviço de coleta por tonelada (R$/ton)</t>
  </si>
  <si>
    <t>Serviço de transporte dos resíduos provenientes da coleta convencional</t>
  </si>
  <si>
    <t>Mão-de-obra</t>
  </si>
  <si>
    <t>2.1.1</t>
  </si>
  <si>
    <t>Motorista (12,3%)</t>
  </si>
  <si>
    <t xml:space="preserve">2.2 </t>
  </si>
  <si>
    <t xml:space="preserve">2.2.1 </t>
  </si>
  <si>
    <t>litros</t>
  </si>
  <si>
    <t>2.2.2</t>
  </si>
  <si>
    <t>2.2.3</t>
  </si>
  <si>
    <t>Sub-total item 2.2 + B.D.I</t>
  </si>
  <si>
    <t>Custo do serviço de transporte (R$)</t>
  </si>
  <si>
    <t xml:space="preserve">Custo do serviço de transporte por tonelada (R$/ton) </t>
  </si>
  <si>
    <r>
      <rPr>
        <b/>
        <sz val="8"/>
        <color indexed="55"/>
        <rFont val="Calibri"/>
        <family val="2"/>
        <charset val="1"/>
      </rPr>
      <t>CUSTO DO SERVIÇO DE COLETA E TRANSPORTE DOS RESÍDUOS DOMICILIARES POR TONELADA (C</t>
    </r>
    <r>
      <rPr>
        <b/>
        <vertAlign val="subscript"/>
        <sz val="8"/>
        <color indexed="55"/>
        <rFont val="Calibri"/>
        <family val="2"/>
        <charset val="1"/>
      </rPr>
      <t>CV+T</t>
    </r>
    <r>
      <rPr>
        <b/>
        <sz val="8"/>
        <color indexed="55"/>
        <rFont val="Calibri"/>
        <family val="2"/>
        <charset val="1"/>
      </rPr>
      <t>)</t>
    </r>
  </si>
  <si>
    <t>3.1</t>
  </si>
  <si>
    <t>3.1.1</t>
  </si>
  <si>
    <t>3.1.2</t>
  </si>
  <si>
    <t>Motorista</t>
  </si>
  <si>
    <t>3.1.3</t>
  </si>
  <si>
    <t>3.2</t>
  </si>
  <si>
    <t>3.2.1</t>
  </si>
  <si>
    <t>Frota efetiva - caminhões  equipados com carroceria tipo baú</t>
  </si>
  <si>
    <t>3.2.1.1</t>
  </si>
  <si>
    <t>3.2.1.2</t>
  </si>
  <si>
    <t>3.2.1.3</t>
  </si>
  <si>
    <t>3.2.1.4</t>
  </si>
  <si>
    <t>3.2.1.5</t>
  </si>
  <si>
    <t>3.2.1.6</t>
  </si>
  <si>
    <t>3.2.1.7</t>
  </si>
  <si>
    <t>3.2.1.8</t>
  </si>
  <si>
    <t>3.2.2</t>
  </si>
  <si>
    <t>Frota reserva - caminhão equipado com carroceria tipo baú</t>
  </si>
  <si>
    <t>3.2.2.1</t>
  </si>
  <si>
    <t>3.2.2.2</t>
  </si>
  <si>
    <t>3.2.3</t>
  </si>
  <si>
    <t>3.2.3.1</t>
  </si>
  <si>
    <t>3.2.3.2</t>
  </si>
  <si>
    <t>3.2.3.3</t>
  </si>
  <si>
    <t>3.2.3.4</t>
  </si>
  <si>
    <t>3.2.3.5</t>
  </si>
  <si>
    <t>Licenciamento e seguro</t>
  </si>
  <si>
    <t>3.2.3.6</t>
  </si>
  <si>
    <t>3.2.3.7</t>
  </si>
  <si>
    <t>3.2.3.8</t>
  </si>
  <si>
    <t>Sub-total item 3.2+ B.D.I</t>
  </si>
  <si>
    <t>Custo do serviço de coleta seletiva (R$)</t>
  </si>
  <si>
    <t>Serviço de transporte dos resíduos sólidos recicláveis</t>
  </si>
  <si>
    <t>4.1</t>
  </si>
  <si>
    <t>4.2</t>
  </si>
  <si>
    <t>CUSTO MENSAL ESTIMADO DOS SERVIÇOS DE COLETA SELETIVA E TRANSPORTE (2 equipes)</t>
  </si>
  <si>
    <r>
      <rPr>
        <b/>
        <sz val="8"/>
        <color indexed="55"/>
        <rFont val="Calibri"/>
        <family val="2"/>
        <charset val="1"/>
      </rPr>
      <t>CUSTO DOS SERVIÇOS DE COLETA SELETIVA E TRANSPORTE POR EQUIPE  DE COLETA (C</t>
    </r>
    <r>
      <rPr>
        <b/>
        <vertAlign val="subscript"/>
        <sz val="8"/>
        <color indexed="55"/>
        <rFont val="Calibri"/>
        <family val="2"/>
        <charset val="1"/>
      </rPr>
      <t>CS+T</t>
    </r>
    <r>
      <rPr>
        <b/>
        <sz val="8"/>
        <color indexed="55"/>
        <rFont val="Calibri"/>
        <family val="2"/>
        <charset val="1"/>
      </rPr>
      <t>)</t>
    </r>
  </si>
  <si>
    <t>Percurso médio por dia da semana (Ref. Julho/2020)</t>
  </si>
  <si>
    <r>
      <t xml:space="preserve">A quantidade de resíduos sólidos a ser coletada e destinada ao aterro sanitário foi dimensionada com base no crescimento verificado nos últimos anos (2014 a 2019), que resultou em </t>
    </r>
    <r>
      <rPr>
        <sz val="8"/>
        <rFont val="Calibri"/>
        <family val="2"/>
      </rPr>
      <t xml:space="preserve">1,86 </t>
    </r>
    <r>
      <rPr>
        <sz val="8"/>
        <color indexed="55"/>
        <rFont val="Calibri"/>
        <family val="2"/>
        <charset val="1"/>
      </rPr>
      <t xml:space="preserve">% a.a.. Considerando a duração do contrato, além do crescimento vegetativo da população e de um provável aquecimento da economia, com consequente aumento no consumo de bens ao longo dos próximos anos, estimou-se 1% de margem de segurança. Assim, a projeção foi realizada aplicando-se um incremento de </t>
    </r>
    <r>
      <rPr>
        <sz val="8"/>
        <rFont val="Calibri"/>
        <family val="2"/>
      </rPr>
      <t xml:space="preserve">2,86 </t>
    </r>
    <r>
      <rPr>
        <sz val="8"/>
        <color indexed="55"/>
        <rFont val="Calibri"/>
        <family val="2"/>
        <charset val="1"/>
      </rPr>
      <t xml:space="preserve">% sobre a média mensal apurada no ano 2019.  </t>
    </r>
  </si>
  <si>
    <t>Sub-total (incluindo taxa administrativa, lucro e tributos)</t>
  </si>
  <si>
    <t>Custo mensal estimado para o transporte (considerando 80 toneladas/mês)</t>
  </si>
  <si>
    <t>Salário estimado por mês (proporcional)</t>
  </si>
  <si>
    <t>Projeção para 2021 (ton/mês)</t>
  </si>
  <si>
    <t>Projeção para 2021 (ton/ano)</t>
  </si>
  <si>
    <t>Margem de segurança (%)</t>
  </si>
  <si>
    <t>Variação da média anual no período 2014/2020, em %</t>
  </si>
  <si>
    <t>Quantidade adotada (ton/mês)</t>
  </si>
  <si>
    <t xml:space="preserve">Valor do veículo (R$) </t>
  </si>
  <si>
    <t>*Tabela FIPE - Ref. Iveco Tector 240E28 6x2 2p Diesel E5 Ano 2017 (R$ 149.096,00). Pesquisa em fevereiro de 2021.</t>
  </si>
  <si>
    <t>*Tabela FIPE - Ref. Iveco Tector 240E28 6x2 2p Diesel E5 Ano 2019 (R$ 205.563,00). Pesquisa em fevereiro de 2021.</t>
  </si>
  <si>
    <t>* Ref.: Tabela FIPE - Ref. Ford Cargo 1723 E Turbo Diesel 2P Ano 2017 (R$ 139.752,00). Pesquisa em fevereiro de 2021.</t>
  </si>
  <si>
    <t>* Ref.: Tabela FIPE - Ref. Ford Cargo 1723 E Turbo Diesel 2P Ano 2019 (R$ 182.014,00). Pesquisa em fevereiro de 2021.</t>
  </si>
  <si>
    <t>Valor médio: R$ 193.788,50.</t>
  </si>
  <si>
    <t>Valor médio: R$144.424,00.</t>
  </si>
  <si>
    <t>Diesel S10 - Preço médio para o município de Blumenau - ANP (07/02/21 a 13/02/21)</t>
  </si>
  <si>
    <t>Fonte: http://preco.anp.gov.br/include/Resumo_Quatro_Municipio.asp</t>
  </si>
  <si>
    <t xml:space="preserve">CPK = (6x1800,00 + 2x599,00)/(20.000+2x16000) = </t>
  </si>
  <si>
    <t>*Ref.: Tabela Fipe Saveiro Robust 1.6 Total Flex 8V - Ano 2019 Gasolina (R$41.019,00). Pesquisa em fevereiro de 2021.</t>
  </si>
  <si>
    <t>Gasolina comum - Preço médio para o município de Blumenau - ANP (07/02/21 a 13/02/21)</t>
  </si>
  <si>
    <t>Projeção para 2021 (ton/mês) - quantidade de resíduos a ser coletada</t>
  </si>
  <si>
    <t>* Ref.: Tabela FIPE - Ref. Ford Cargo 816 E/816 S Turbo 2p (diesel)(E5) Ano 2019 (R$ 137.787,00). Pesquisa em fevereiro de 2021.</t>
  </si>
  <si>
    <t>* Ref.: Tabela FIPE - Ref. Ford Cargo 816 E/816 S Turbo 2p (diesel)(E5) Ano 2016 (R$ 113.859,00). Pesquisa em fevereiro de 2021.</t>
  </si>
  <si>
    <t xml:space="preserve">CPK = (6x929,50 + 2x479,00)/(20.000+2x20000) = </t>
  </si>
  <si>
    <t>CUSTO MENSAL ESTIMADO DOS SERVIÇOS DE COLETA E TRANSPORTE DOS RESÍDUOS DOMICILIARES (1.510,00 ton/mês)</t>
  </si>
  <si>
    <t>Percurso estimado (km/mês)</t>
  </si>
  <si>
    <t>Coleta de volumosos</t>
  </si>
  <si>
    <t xml:space="preserve">Neste memorial de cálculo é apresentada a discriminação dos valores utilizados como base para a composição do custo por equipe para a realização da coleta e do transporte dos resíduos sólidos recicláveis domiciliares e volumosos do Município de Gaspar. 
Foram incluídos todos os itens e recursos julgados necessários à plena execução dos serviços.
</t>
  </si>
  <si>
    <t>Taxa de juros acumulada, apurada em fev/2021 SELIC (2,00%) = % 0,17a.m.</t>
  </si>
  <si>
    <t>A quantidade de resíduos sólidos recicláveis a ser coletada foi estimada com base nas quantidades recolhidas apuradas através dos boletins de medição dos anos 2018 a 2020.</t>
  </si>
  <si>
    <t>Valor de referência: jan/2020</t>
  </si>
  <si>
    <t>Volumosos</t>
  </si>
  <si>
    <t>Serviço de coleta seletiva e especial</t>
  </si>
  <si>
    <t>Taxa de juros acumulada, apurada em fev/2021 SELIC (2,00%) = 0,17%a.m.</t>
  </si>
  <si>
    <t>Total mensal (coleta especial)</t>
  </si>
  <si>
    <t>aprox. 10% da coleta seletiva mensal</t>
  </si>
  <si>
    <t>Total mensal (coleta seletiva)</t>
  </si>
  <si>
    <t>CPK = 4*350,00/30000 = 0,034667</t>
  </si>
  <si>
    <t>Custo do frete de transporte (t x km) - Referência: Tabela SINAPI, Cod. 100947 - Transporte comercial com caminhão carroceria 9T, em via urbana pavimentada. Base: 07/2020.</t>
  </si>
  <si>
    <r>
      <t>Quantidade anual</t>
    </r>
    <r>
      <rPr>
        <sz val="8"/>
        <color indexed="55"/>
        <rFont val="Calibri"/>
        <family val="2"/>
        <charset val="1"/>
      </rPr>
      <t xml:space="preserve"> de toneladas coletadas em 2019 + projeção de crescimento da geração de lixo baseada na variação ocorrida no período de 2014 a 2020 </t>
    </r>
  </si>
  <si>
    <r>
      <t xml:space="preserve">Média mensal </t>
    </r>
    <r>
      <rPr>
        <sz val="8"/>
        <color indexed="55"/>
        <rFont val="Calibri"/>
        <family val="2"/>
        <charset val="1"/>
      </rPr>
      <t>de toneladas coletadas em 2019 + projeção de crescimento da geração de lixo baseada na variação ocorrida no período de 2014 a 2020</t>
    </r>
  </si>
  <si>
    <t xml:space="preserve">As rotas de coleta se distribuem durante a semana, de segunda a sábado, e estão agrupadas conforme o quadro a seguir. A quilometragem média de coleta percorrida mensalmente é de 17.555 km (dezessete mil, quinhentos e cinquenta e cinco quilometros). 
Considerando que o aterro sanitário contratado dista a 13(treze)km da balança rodoviária da Prefeitura de Gaspar, não será exigida a etapa de transbordo.
Dessa forma, a quantidade de viagens até a unidade de disposição final torna-se maior. Em média, são realizadas 221 viagens mensais. Sendo o percurso de cada viagem igual a 26 km, a quilometragem mensal da etapa de transporte passa a ser de 5.743,60 (cinco mil, setecentos e quarenta e três quilômetros e sessenta metros).
</t>
  </si>
  <si>
    <t>ALIENAÇÃO DO RESÍDUOS SÓLIDOS RECICLÁVEIS COLETADOS NÃO-TRIADOS</t>
  </si>
  <si>
    <t>5.1</t>
  </si>
  <si>
    <t>Alienação dos resíduos sólidos recicláveis</t>
  </si>
  <si>
    <t>tonelada</t>
  </si>
  <si>
    <t>MÁXIMO VALOR DA PROPOSTA (VF) (R$/MÊS)</t>
  </si>
  <si>
    <t xml:space="preserve">Observação: O máximo valor da proposta para a execução dos serviços será obtido através da seguinte relação: </t>
  </si>
  <si>
    <t>DISPONIBILIZAÇÃO E HIGIENIZAÇÃO DE CONTÊINERES</t>
  </si>
  <si>
    <t>Disponibilização e Higienização de contêineres</t>
  </si>
  <si>
    <t>Observação: Intervalo de valores de oferta: R$5,00 a R$20,00/tonelada</t>
  </si>
  <si>
    <r>
      <t>VF = (C</t>
    </r>
    <r>
      <rPr>
        <b/>
        <vertAlign val="subscript"/>
        <sz val="8"/>
        <color indexed="55"/>
        <rFont val="Calibri"/>
        <family val="2"/>
      </rPr>
      <t>CV+T</t>
    </r>
    <r>
      <rPr>
        <b/>
        <sz val="8"/>
        <color indexed="55"/>
        <rFont val="Calibri"/>
        <family val="2"/>
      </rPr>
      <t xml:space="preserve"> x 1.510,00 + C</t>
    </r>
    <r>
      <rPr>
        <b/>
        <vertAlign val="subscript"/>
        <sz val="8"/>
        <color indexed="55"/>
        <rFont val="Calibri"/>
        <family val="2"/>
      </rPr>
      <t>CS+T</t>
    </r>
    <r>
      <rPr>
        <b/>
        <sz val="8"/>
        <color indexed="55"/>
        <rFont val="Calibri"/>
        <family val="2"/>
      </rPr>
      <t xml:space="preserve"> x 2 + Cdhc x 330.000,00) – (V</t>
    </r>
    <r>
      <rPr>
        <b/>
        <vertAlign val="subscript"/>
        <sz val="8"/>
        <color indexed="55"/>
        <rFont val="Calibri"/>
        <family val="2"/>
      </rPr>
      <t xml:space="preserve">OF </t>
    </r>
    <r>
      <rPr>
        <b/>
        <sz val="8"/>
        <color indexed="55"/>
        <rFont val="Calibri"/>
        <family val="2"/>
      </rPr>
      <t>x 80,00)</t>
    </r>
  </si>
  <si>
    <t>OBJETO: Coleta manual e mecanizada e transporte dos resíduos sólidos urbanos, incluindo os recicláveis e da coleta especial, de origem domiciliar, comercial-industrial (com características domiciliares), das repartições públicas e da limpeza de áreas públicas do município de Gaspar/SC, disponibilização e higienização de contêineres e destinação dos resíduos recicláveis.</t>
  </si>
  <si>
    <t>ANEXO DO PROJETO BÁSICO - COLETA SELETIVA</t>
  </si>
  <si>
    <t>Percurso de transporte: 221 viagens/mês x 26km/viagem = 5.746 km</t>
  </si>
  <si>
    <t>Custo do transporte c/ B.D.I (25,38%) (R$/tonelada)</t>
  </si>
</sst>
</file>

<file path=xl/styles.xml><?xml version="1.0" encoding="utf-8"?>
<styleSheet xmlns="http://schemas.openxmlformats.org/spreadsheetml/2006/main">
  <numFmts count="27">
    <numFmt numFmtId="164" formatCode="[$-416]d/m/yyyy"/>
    <numFmt numFmtId="165" formatCode="&quot;R$ &quot;#,##0.00"/>
    <numFmt numFmtId="166" formatCode="_-&quot;R$ &quot;* #,##0.00_-;&quot;-R$ &quot;* #,##0.00_-;_-&quot;R$ &quot;* \-??_-;_-@_-"/>
    <numFmt numFmtId="167" formatCode="_(&quot;R$ &quot;* #,##0.00_);_(&quot;R$ &quot;* \(#,##0.00\);_(&quot;R$ &quot;* \-??_);_(@_)"/>
    <numFmt numFmtId="168" formatCode="_-* #,##0.00_-;\-* #,##0.00_-;_-* \-??_-;_-@_-"/>
    <numFmt numFmtId="169" formatCode="0.0000"/>
    <numFmt numFmtId="170" formatCode="_(* #,##0.00_);_(* \(#,##0.00\);_(* \-??_);_(@_)"/>
    <numFmt numFmtId="171" formatCode="0.0"/>
    <numFmt numFmtId="172" formatCode="#,##0.0"/>
    <numFmt numFmtId="173" formatCode="[$-416]mmm/yy"/>
    <numFmt numFmtId="174" formatCode="&quot;R$ &quot;#,##0.00;[Red]&quot;-R$ &quot;#,##0.00"/>
    <numFmt numFmtId="175" formatCode="#,##0.00000"/>
    <numFmt numFmtId="176" formatCode="_(&quot;R$ &quot;* #,##0.0000_);_(&quot;R$ &quot;* \(#,##0.0000\);_(&quot;R$ &quot;* \-????_);_(@_)"/>
    <numFmt numFmtId="177" formatCode="#,##0.0000_);\(#,##0.0000\)"/>
    <numFmt numFmtId="178" formatCode="[$-416]#,##0.00_);\(#,##0.00\)"/>
    <numFmt numFmtId="179" formatCode="_(&quot;R$ &quot;* #,##0.00_);_(&quot;R$ &quot;* \(#,##0.00\);_(&quot;R$ &quot;* \-???_);_(@_)"/>
    <numFmt numFmtId="180" formatCode="_(&quot;R$ &quot;* #,##0.000_);_(&quot;R$ &quot;* \(#,##0.000\);_(&quot;R$ &quot;* \-???_);_(@_)"/>
    <numFmt numFmtId="181" formatCode="0.000000"/>
    <numFmt numFmtId="182" formatCode="_-&quot;R$ &quot;* #,##0.0000_-;&quot;-R$ &quot;* #,##0.0000_-;_-&quot;R$ &quot;* \-??_-;_-@_-"/>
    <numFmt numFmtId="183" formatCode="_-&quot;R$ &quot;* #,##0.00_-;&quot;-R$ &quot;* #,##0.00_-;_-&quot;R$ &quot;* \-????_-;_-@_-"/>
    <numFmt numFmtId="184" formatCode="_([$R$ -416]* #,##0.00_);_([$R$ -416]* \(#,##0.00\);_([$R$ -416]* \-??_);_(@_)"/>
    <numFmt numFmtId="185" formatCode="0.0%"/>
    <numFmt numFmtId="186" formatCode="#,##0.000"/>
    <numFmt numFmtId="187" formatCode="&quot;R$&quot;#,##0.00"/>
    <numFmt numFmtId="188" formatCode="0.000"/>
    <numFmt numFmtId="189" formatCode="&quot;R$&quot;\ #,##0.00"/>
    <numFmt numFmtId="190" formatCode="_(* #,##0.0_);_(* \(#,##0.0\);_(* \-??_);_(@_)"/>
  </numFmts>
  <fonts count="58">
    <font>
      <sz val="11"/>
      <color rgb="FF000000"/>
      <name val="Calibri"/>
      <family val="2"/>
      <charset val="1"/>
    </font>
    <font>
      <b/>
      <sz val="8"/>
      <color indexed="55"/>
      <name val="Calibri"/>
      <family val="2"/>
      <charset val="1"/>
    </font>
    <font>
      <sz val="8"/>
      <color indexed="55"/>
      <name val="Calibri"/>
      <family val="2"/>
      <charset val="1"/>
    </font>
    <font>
      <sz val="8"/>
      <name val="Calibri"/>
      <family val="2"/>
      <charset val="1"/>
    </font>
    <font>
      <i/>
      <sz val="8"/>
      <color indexed="55"/>
      <name val="Calibri"/>
      <family val="2"/>
      <charset val="1"/>
    </font>
    <font>
      <i/>
      <sz val="8"/>
      <name val="Calibri"/>
      <family val="2"/>
      <charset val="1"/>
    </font>
    <font>
      <b/>
      <sz val="8"/>
      <name val="Calibri"/>
      <family val="2"/>
      <charset val="1"/>
    </font>
    <font>
      <sz val="9"/>
      <name val="Calibri"/>
      <family val="2"/>
      <charset val="1"/>
    </font>
    <font>
      <sz val="10"/>
      <name val="Arial"/>
      <family val="2"/>
      <charset val="1"/>
    </font>
    <font>
      <sz val="6"/>
      <name val="Calibri"/>
      <family val="2"/>
      <charset val="1"/>
    </font>
    <font>
      <b/>
      <i/>
      <sz val="8"/>
      <name val="Calibri"/>
      <family val="2"/>
      <charset val="1"/>
    </font>
    <font>
      <b/>
      <vertAlign val="subscript"/>
      <sz val="8"/>
      <color indexed="55"/>
      <name val="Calibri"/>
      <family val="2"/>
      <charset val="1"/>
    </font>
    <font>
      <sz val="8"/>
      <name val="Calibri"/>
      <family val="2"/>
    </font>
    <font>
      <b/>
      <sz val="8"/>
      <name val="Calibri"/>
      <family val="2"/>
    </font>
    <font>
      <b/>
      <sz val="8"/>
      <color indexed="55"/>
      <name val="Calibri"/>
      <family val="2"/>
    </font>
    <font>
      <b/>
      <vertAlign val="subscript"/>
      <sz val="8"/>
      <color indexed="55"/>
      <name val="Calibri"/>
      <family val="2"/>
    </font>
    <font>
      <sz val="11"/>
      <color rgb="FF000000"/>
      <name val="Calibri"/>
      <family val="2"/>
      <charset val="1"/>
    </font>
    <font>
      <b/>
      <sz val="8"/>
      <color rgb="FF000000"/>
      <name val="Calibri"/>
      <family val="2"/>
      <charset val="1"/>
    </font>
    <font>
      <sz val="8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i/>
      <sz val="8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9"/>
      <color rgb="FF000000"/>
      <name val="Calibri"/>
      <family val="2"/>
      <charset val="1"/>
    </font>
    <font>
      <b/>
      <sz val="8"/>
      <color rgb="FFFF0000"/>
      <name val="Calibri"/>
      <family val="2"/>
      <charset val="1"/>
    </font>
    <font>
      <sz val="8"/>
      <color rgb="FFFF0000"/>
      <name val="Calibri"/>
      <family val="2"/>
      <charset val="1"/>
    </font>
    <font>
      <i/>
      <u/>
      <sz val="8"/>
      <color rgb="FF000000"/>
      <name val="Calibri"/>
      <family val="2"/>
      <charset val="1"/>
    </font>
    <font>
      <u/>
      <sz val="8"/>
      <color rgb="FF000000"/>
      <name val="Calibri"/>
      <family val="2"/>
      <charset val="1"/>
    </font>
    <font>
      <b/>
      <u/>
      <sz val="8"/>
      <color rgb="FF000000"/>
      <name val="Calibri"/>
      <family val="2"/>
      <charset val="1"/>
    </font>
    <font>
      <i/>
      <sz val="9"/>
      <color rgb="FF000000"/>
      <name val="Calibri"/>
      <family val="2"/>
      <charset val="1"/>
    </font>
    <font>
      <sz val="8"/>
      <color rgb="FF808080"/>
      <name val="Calibri"/>
      <family val="2"/>
      <charset val="1"/>
    </font>
    <font>
      <sz val="6"/>
      <color rgb="FF000000"/>
      <name val="Calibri"/>
      <family val="2"/>
      <charset val="1"/>
    </font>
    <font>
      <sz val="9"/>
      <color rgb="FF1F497D"/>
      <name val="Calibri"/>
      <family val="2"/>
      <charset val="1"/>
    </font>
    <font>
      <b/>
      <sz val="8"/>
      <color rgb="FF1F497D"/>
      <name val="Calibri"/>
      <family val="2"/>
      <charset val="1"/>
    </font>
    <font>
      <sz val="11"/>
      <color rgb="FF1F497D"/>
      <name val="Calibri"/>
      <family val="2"/>
      <charset val="1"/>
    </font>
    <font>
      <b/>
      <sz val="9"/>
      <color rgb="FF1F497D"/>
      <name val="Calibri"/>
      <family val="2"/>
      <charset val="1"/>
    </font>
    <font>
      <b/>
      <u/>
      <sz val="9"/>
      <color rgb="FF000000"/>
      <name val="Calibri"/>
      <family val="2"/>
      <charset val="1"/>
    </font>
    <font>
      <b/>
      <sz val="9"/>
      <color rgb="FFFF0000"/>
      <name val="Calibri"/>
      <family val="2"/>
      <charset val="1"/>
    </font>
    <font>
      <sz val="11"/>
      <color rgb="FFFF0000"/>
      <name val="Calibri"/>
      <family val="2"/>
      <charset val="1"/>
    </font>
    <font>
      <sz val="9"/>
      <color rgb="FFFF0000"/>
      <name val="Calibri"/>
      <family val="2"/>
      <charset val="1"/>
    </font>
    <font>
      <b/>
      <sz val="8"/>
      <color rgb="FFFFFFFF"/>
      <name val="Calibri"/>
      <family val="2"/>
      <charset val="1"/>
    </font>
    <font>
      <b/>
      <sz val="10"/>
      <color rgb="FF000000"/>
      <name val="Calibri"/>
      <family val="2"/>
      <charset val="1"/>
    </font>
    <font>
      <b/>
      <i/>
      <sz val="8"/>
      <color rgb="FF000000"/>
      <name val="Arial"/>
      <family val="2"/>
      <charset val="1"/>
    </font>
    <font>
      <i/>
      <sz val="8"/>
      <color rgb="FFFFFFFF"/>
      <name val="Arial"/>
      <family val="2"/>
      <charset val="1"/>
    </font>
    <font>
      <sz val="8"/>
      <color rgb="FF000000"/>
      <name val="Arial"/>
      <family val="2"/>
      <charset val="1"/>
    </font>
    <font>
      <b/>
      <i/>
      <sz val="8"/>
      <color rgb="FF000000"/>
      <name val="Calibri"/>
      <family val="2"/>
      <charset val="1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b/>
      <i/>
      <sz val="8"/>
      <name val="Calibri"/>
      <family val="2"/>
      <scheme val="minor"/>
    </font>
    <font>
      <b/>
      <sz val="8"/>
      <color rgb="FF000000"/>
      <name val="Calibri"/>
      <family val="2"/>
    </font>
    <font>
      <b/>
      <sz val="12"/>
      <color rgb="FF000000"/>
      <name val="Times New Roman"/>
      <family val="1"/>
    </font>
    <font>
      <b/>
      <sz val="8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  <font>
      <b/>
      <sz val="10"/>
      <color theme="0" tint="-4.9989318521683403E-2"/>
      <name val="Calibri"/>
      <family val="2"/>
      <scheme val="minor"/>
    </font>
    <font>
      <b/>
      <sz val="12"/>
      <color rgb="FF000000"/>
      <name val="Calibri"/>
      <family val="2"/>
      <charset val="1"/>
    </font>
    <font>
      <sz val="8"/>
      <color rgb="FF595959"/>
      <name val="Calibri"/>
      <family val="2"/>
      <charset val="1"/>
    </font>
  </fonts>
  <fills count="16">
    <fill>
      <patternFill patternType="none"/>
    </fill>
    <fill>
      <patternFill patternType="gray125"/>
    </fill>
    <fill>
      <patternFill patternType="solid">
        <fgColor rgb="FFC0C0C0"/>
        <bgColor rgb="FFBFBFBF"/>
      </patternFill>
    </fill>
    <fill>
      <patternFill patternType="solid">
        <fgColor rgb="FFD9D9D9"/>
        <bgColor rgb="FFDDD9C3"/>
      </patternFill>
    </fill>
    <fill>
      <patternFill patternType="solid">
        <fgColor rgb="FFF2F2F2"/>
        <bgColor rgb="FFFFFFFF"/>
      </patternFill>
    </fill>
    <fill>
      <patternFill patternType="solid">
        <fgColor rgb="FFBFBFBF"/>
        <bgColor rgb="FFC0C0C0"/>
      </patternFill>
    </fill>
    <fill>
      <patternFill patternType="solid">
        <fgColor rgb="FFA6A6A6"/>
        <bgColor rgb="FFBFBFBF"/>
      </patternFill>
    </fill>
    <fill>
      <patternFill patternType="solid">
        <fgColor rgb="FF808080"/>
        <bgColor rgb="FFA6A6A6"/>
      </patternFill>
    </fill>
    <fill>
      <patternFill patternType="solid">
        <fgColor rgb="FFDDD9C3"/>
        <bgColor rgb="FFD9D9D9"/>
      </patternFill>
    </fill>
    <fill>
      <patternFill patternType="solid">
        <fgColor theme="0" tint="-4.9989318521683403E-2"/>
        <bgColor rgb="FFFFFFFF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rgb="FFDDD9C3"/>
      </patternFill>
    </fill>
    <fill>
      <patternFill patternType="solid">
        <fgColor theme="1" tint="0.14999847407452621"/>
        <bgColor indexed="64"/>
      </patternFill>
    </fill>
    <fill>
      <patternFill patternType="solid">
        <fgColor rgb="FF404040"/>
        <bgColor rgb="FF595959"/>
      </patternFill>
    </fill>
  </fills>
  <borders count="35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4">
    <xf numFmtId="0" fontId="0" fillId="0" borderId="0"/>
    <xf numFmtId="167" fontId="16" fillId="0" borderId="0" applyBorder="0" applyProtection="0"/>
    <xf numFmtId="9" fontId="16" fillId="0" borderId="0" applyBorder="0" applyProtection="0"/>
    <xf numFmtId="170" fontId="16" fillId="0" borderId="0" applyBorder="0" applyProtection="0"/>
  </cellStyleXfs>
  <cellXfs count="816">
    <xf numFmtId="0" fontId="0" fillId="0" borderId="0" xfId="0"/>
    <xf numFmtId="0" fontId="17" fillId="0" borderId="0" xfId="0" applyFont="1"/>
    <xf numFmtId="0" fontId="17" fillId="0" borderId="1" xfId="0" applyFont="1" applyBorder="1" applyAlignment="1">
      <alignment horizontal="center" vertical="top" wrapText="1"/>
    </xf>
    <xf numFmtId="0" fontId="17" fillId="2" borderId="2" xfId="0" applyFont="1" applyFill="1" applyBorder="1" applyAlignment="1">
      <alignment vertical="top"/>
    </xf>
    <xf numFmtId="10" fontId="18" fillId="2" borderId="3" xfId="0" applyNumberFormat="1" applyFont="1" applyFill="1" applyBorder="1" applyAlignment="1">
      <alignment horizontal="center" vertical="top"/>
    </xf>
    <xf numFmtId="0" fontId="17" fillId="0" borderId="4" xfId="0" applyFont="1" applyBorder="1" applyAlignment="1">
      <alignment vertical="top"/>
    </xf>
    <xf numFmtId="10" fontId="18" fillId="0" borderId="5" xfId="0" applyNumberFormat="1" applyFont="1" applyBorder="1" applyAlignment="1">
      <alignment horizontal="center" vertical="top"/>
    </xf>
    <xf numFmtId="0" fontId="17" fillId="2" borderId="6" xfId="0" applyFont="1" applyFill="1" applyBorder="1" applyAlignment="1">
      <alignment vertical="top"/>
    </xf>
    <xf numFmtId="10" fontId="18" fillId="2" borderId="7" xfId="0" applyNumberFormat="1" applyFont="1" applyFill="1" applyBorder="1" applyAlignment="1">
      <alignment horizontal="center" vertical="top"/>
    </xf>
    <xf numFmtId="0" fontId="17" fillId="0" borderId="8" xfId="0" applyFont="1" applyBorder="1" applyAlignment="1">
      <alignment vertical="top"/>
    </xf>
    <xf numFmtId="10" fontId="18" fillId="0" borderId="9" xfId="0" applyNumberFormat="1" applyFont="1" applyBorder="1" applyAlignment="1">
      <alignment horizontal="center" vertical="top"/>
    </xf>
    <xf numFmtId="0" fontId="17" fillId="2" borderId="8" xfId="0" applyFont="1" applyFill="1" applyBorder="1" applyAlignment="1">
      <alignment vertical="top"/>
    </xf>
    <xf numFmtId="10" fontId="18" fillId="2" borderId="9" xfId="0" applyNumberFormat="1" applyFont="1" applyFill="1" applyBorder="1" applyAlignment="1">
      <alignment horizontal="center" vertical="top"/>
    </xf>
    <xf numFmtId="0" fontId="17" fillId="0" borderId="2" xfId="0" applyFont="1" applyBorder="1" applyAlignment="1">
      <alignment vertical="top"/>
    </xf>
    <xf numFmtId="10" fontId="18" fillId="0" borderId="3" xfId="0" applyNumberFormat="1" applyFont="1" applyBorder="1" applyAlignment="1">
      <alignment horizontal="center" vertical="top"/>
    </xf>
    <xf numFmtId="0" fontId="17" fillId="2" borderId="4" xfId="0" applyFont="1" applyFill="1" applyBorder="1" applyAlignment="1">
      <alignment vertical="top"/>
    </xf>
    <xf numFmtId="10" fontId="18" fillId="2" borderId="5" xfId="0" applyNumberFormat="1" applyFont="1" applyFill="1" applyBorder="1" applyAlignment="1">
      <alignment horizontal="center" vertical="top"/>
    </xf>
    <xf numFmtId="0" fontId="17" fillId="0" borderId="6" xfId="0" applyFont="1" applyBorder="1" applyAlignment="1">
      <alignment vertical="top" wrapText="1"/>
    </xf>
    <xf numFmtId="10" fontId="18" fillId="0" borderId="7" xfId="0" applyNumberFormat="1" applyFont="1" applyBorder="1" applyAlignment="1">
      <alignment horizontal="center" vertical="top"/>
    </xf>
    <xf numFmtId="0" fontId="17" fillId="2" borderId="10" xfId="0" applyFont="1" applyFill="1" applyBorder="1" applyAlignment="1">
      <alignment vertical="top"/>
    </xf>
    <xf numFmtId="10" fontId="17" fillId="2" borderId="10" xfId="0" applyNumberFormat="1" applyFont="1" applyFill="1" applyBorder="1" applyAlignment="1">
      <alignment horizontal="center" vertical="top"/>
    </xf>
    <xf numFmtId="0" fontId="18" fillId="0" borderId="0" xfId="0" applyFont="1"/>
    <xf numFmtId="0" fontId="19" fillId="0" borderId="0" xfId="0" applyFont="1"/>
    <xf numFmtId="0" fontId="20" fillId="0" borderId="0" xfId="0" applyFont="1"/>
    <xf numFmtId="0" fontId="20" fillId="0" borderId="0" xfId="0" applyFont="1" applyBorder="1"/>
    <xf numFmtId="0" fontId="17" fillId="0" borderId="11" xfId="0" applyFont="1" applyBorder="1" applyAlignment="1">
      <alignment horizontal="center" wrapText="1"/>
    </xf>
    <xf numFmtId="0" fontId="18" fillId="0" borderId="11" xfId="0" applyFont="1" applyBorder="1"/>
    <xf numFmtId="0" fontId="18" fillId="0" borderId="11" xfId="0" applyFont="1" applyBorder="1" applyAlignment="1">
      <alignment horizontal="center"/>
    </xf>
    <xf numFmtId="4" fontId="3" fillId="0" borderId="11" xfId="0" applyNumberFormat="1" applyFont="1" applyBorder="1" applyAlignment="1">
      <alignment horizontal="left" vertical="center"/>
    </xf>
    <xf numFmtId="164" fontId="18" fillId="0" borderId="11" xfId="0" applyNumberFormat="1" applyFont="1" applyBorder="1" applyAlignment="1">
      <alignment horizontal="center" wrapText="1"/>
    </xf>
    <xf numFmtId="0" fontId="21" fillId="0" borderId="11" xfId="0" applyFont="1" applyBorder="1" applyAlignment="1">
      <alignment horizontal="center"/>
    </xf>
    <xf numFmtId="0" fontId="21" fillId="0" borderId="11" xfId="0" applyFont="1" applyBorder="1" applyAlignment="1">
      <alignment horizontal="center" wrapText="1"/>
    </xf>
    <xf numFmtId="0" fontId="18" fillId="0" borderId="11" xfId="0" applyFont="1" applyBorder="1" applyAlignment="1">
      <alignment horizontal="center" wrapText="1"/>
    </xf>
    <xf numFmtId="4" fontId="17" fillId="0" borderId="11" xfId="0" applyNumberFormat="1" applyFont="1" applyBorder="1" applyAlignment="1">
      <alignment horizontal="right"/>
    </xf>
    <xf numFmtId="2" fontId="18" fillId="0" borderId="11" xfId="0" applyNumberFormat="1" applyFont="1" applyBorder="1" applyAlignment="1">
      <alignment horizontal="center" wrapText="1"/>
    </xf>
    <xf numFmtId="4" fontId="18" fillId="0" borderId="11" xfId="0" applyNumberFormat="1" applyFont="1" applyBorder="1" applyAlignment="1">
      <alignment horizontal="right"/>
    </xf>
    <xf numFmtId="0" fontId="17" fillId="0" borderId="11" xfId="0" applyFont="1" applyBorder="1"/>
    <xf numFmtId="0" fontId="18" fillId="0" borderId="11" xfId="0" applyFont="1" applyBorder="1" applyAlignment="1">
      <alignment wrapText="1"/>
    </xf>
    <xf numFmtId="0" fontId="21" fillId="0" borderId="12" xfId="0" applyFont="1" applyBorder="1"/>
    <xf numFmtId="0" fontId="18" fillId="0" borderId="12" xfId="0" applyFont="1" applyBorder="1"/>
    <xf numFmtId="2" fontId="18" fillId="0" borderId="11" xfId="0" applyNumberFormat="1" applyFont="1" applyBorder="1" applyAlignment="1">
      <alignment horizontal="center"/>
    </xf>
    <xf numFmtId="4" fontId="18" fillId="0" borderId="13" xfId="0" applyNumberFormat="1" applyFont="1" applyBorder="1" applyAlignment="1">
      <alignment wrapText="1"/>
    </xf>
    <xf numFmtId="0" fontId="17" fillId="0" borderId="12" xfId="0" applyFont="1" applyBorder="1"/>
    <xf numFmtId="4" fontId="17" fillId="0" borderId="11" xfId="0" applyNumberFormat="1" applyFont="1" applyBorder="1" applyAlignment="1">
      <alignment horizontal="center"/>
    </xf>
    <xf numFmtId="4" fontId="17" fillId="0" borderId="13" xfId="0" applyNumberFormat="1" applyFont="1" applyBorder="1" applyAlignment="1">
      <alignment wrapText="1"/>
    </xf>
    <xf numFmtId="0" fontId="17" fillId="0" borderId="11" xfId="0" applyFont="1" applyBorder="1" applyAlignment="1">
      <alignment horizontal="center"/>
    </xf>
    <xf numFmtId="4" fontId="18" fillId="0" borderId="11" xfId="0" applyNumberFormat="1" applyFont="1" applyBorder="1" applyAlignment="1">
      <alignment horizontal="center"/>
    </xf>
    <xf numFmtId="4" fontId="18" fillId="0" borderId="11" xfId="0" applyNumberFormat="1" applyFont="1" applyBorder="1"/>
    <xf numFmtId="0" fontId="18" fillId="0" borderId="14" xfId="0" applyFont="1" applyBorder="1" applyAlignment="1">
      <alignment wrapText="1"/>
    </xf>
    <xf numFmtId="4" fontId="17" fillId="0" borderId="11" xfId="0" applyNumberFormat="1" applyFont="1" applyBorder="1"/>
    <xf numFmtId="0" fontId="5" fillId="0" borderId="11" xfId="0" applyFont="1" applyBorder="1" applyAlignment="1">
      <alignment horizontal="center"/>
    </xf>
    <xf numFmtId="0" fontId="5" fillId="0" borderId="11" xfId="0" applyFont="1" applyBorder="1"/>
    <xf numFmtId="0" fontId="5" fillId="0" borderId="11" xfId="0" applyFont="1" applyBorder="1" applyAlignment="1">
      <alignment horizontal="center" wrapText="1"/>
    </xf>
    <xf numFmtId="0" fontId="3" fillId="0" borderId="11" xfId="0" applyFont="1" applyBorder="1"/>
    <xf numFmtId="0" fontId="3" fillId="0" borderId="11" xfId="0" applyFont="1" applyBorder="1" applyAlignment="1">
      <alignment horizontal="center" wrapText="1"/>
    </xf>
    <xf numFmtId="4" fontId="3" fillId="0" borderId="11" xfId="0" applyNumberFormat="1" applyFont="1" applyBorder="1" applyAlignment="1"/>
    <xf numFmtId="4" fontId="3" fillId="0" borderId="11" xfId="0" applyNumberFormat="1" applyFont="1" applyBorder="1" applyAlignment="1">
      <alignment horizontal="center"/>
    </xf>
    <xf numFmtId="0" fontId="6" fillId="0" borderId="11" xfId="0" applyFont="1" applyBorder="1" applyAlignment="1">
      <alignment wrapText="1"/>
    </xf>
    <xf numFmtId="4" fontId="6" fillId="0" borderId="11" xfId="0" applyNumberFormat="1" applyFont="1" applyBorder="1" applyAlignment="1">
      <alignment horizontal="center"/>
    </xf>
    <xf numFmtId="4" fontId="6" fillId="0" borderId="11" xfId="0" applyNumberFormat="1" applyFont="1" applyBorder="1" applyAlignment="1"/>
    <xf numFmtId="0" fontId="21" fillId="0" borderId="0" xfId="0" applyFont="1" applyAlignment="1">
      <alignment wrapText="1"/>
    </xf>
    <xf numFmtId="4" fontId="3" fillId="0" borderId="11" xfId="0" applyNumberFormat="1" applyFont="1" applyBorder="1"/>
    <xf numFmtId="0" fontId="3" fillId="0" borderId="11" xfId="0" applyFont="1" applyBorder="1" applyAlignment="1">
      <alignment horizontal="center"/>
    </xf>
    <xf numFmtId="0" fontId="18" fillId="0" borderId="0" xfId="0" applyFont="1" applyAlignment="1">
      <alignment wrapText="1"/>
    </xf>
    <xf numFmtId="4" fontId="6" fillId="0" borderId="11" xfId="0" applyNumberFormat="1" applyFont="1" applyBorder="1" applyAlignment="1">
      <alignment horizontal="right"/>
    </xf>
    <xf numFmtId="4" fontId="6" fillId="0" borderId="11" xfId="0" applyNumberFormat="1" applyFont="1" applyBorder="1" applyAlignment="1">
      <alignment horizontal="center" wrapText="1"/>
    </xf>
    <xf numFmtId="4" fontId="6" fillId="0" borderId="11" xfId="0" applyNumberFormat="1" applyFont="1" applyBorder="1" applyAlignment="1">
      <alignment horizontal="right" wrapText="1"/>
    </xf>
    <xf numFmtId="0" fontId="6" fillId="3" borderId="11" xfId="0" applyFont="1" applyFill="1" applyBorder="1"/>
    <xf numFmtId="0" fontId="3" fillId="4" borderId="11" xfId="0" applyFont="1" applyFill="1" applyBorder="1" applyAlignment="1">
      <alignment horizontal="center"/>
    </xf>
    <xf numFmtId="4" fontId="6" fillId="3" borderId="11" xfId="0" applyNumberFormat="1" applyFont="1" applyFill="1" applyBorder="1" applyAlignment="1">
      <alignment horizontal="right"/>
    </xf>
    <xf numFmtId="0" fontId="18" fillId="0" borderId="0" xfId="0" applyFont="1" applyAlignment="1">
      <alignment horizontal="center"/>
    </xf>
    <xf numFmtId="0" fontId="21" fillId="0" borderId="11" xfId="0" applyFont="1" applyBorder="1"/>
    <xf numFmtId="0" fontId="18" fillId="0" borderId="11" xfId="0" applyFont="1" applyBorder="1" applyAlignment="1">
      <alignment horizontal="center" vertical="center" wrapText="1"/>
    </xf>
    <xf numFmtId="0" fontId="21" fillId="0" borderId="11" xfId="0" applyFont="1" applyBorder="1" applyAlignment="1">
      <alignment wrapText="1"/>
    </xf>
    <xf numFmtId="4" fontId="21" fillId="0" borderId="11" xfId="0" applyNumberFormat="1" applyFont="1" applyBorder="1" applyAlignment="1">
      <alignment horizontal="right"/>
    </xf>
    <xf numFmtId="4" fontId="18" fillId="0" borderId="15" xfId="0" applyNumberFormat="1" applyFont="1" applyBorder="1" applyAlignment="1">
      <alignment horizontal="center"/>
    </xf>
    <xf numFmtId="4" fontId="18" fillId="0" borderId="16" xfId="0" applyNumberFormat="1" applyFont="1" applyBorder="1"/>
    <xf numFmtId="4" fontId="18" fillId="0" borderId="13" xfId="0" applyNumberFormat="1" applyFont="1" applyBorder="1" applyAlignment="1">
      <alignment horizontal="center"/>
    </xf>
    <xf numFmtId="0" fontId="17" fillId="3" borderId="11" xfId="0" applyFont="1" applyFill="1" applyBorder="1"/>
    <xf numFmtId="4" fontId="17" fillId="3" borderId="11" xfId="0" applyNumberFormat="1" applyFont="1" applyFill="1" applyBorder="1" applyAlignment="1">
      <alignment horizontal="center"/>
    </xf>
    <xf numFmtId="4" fontId="17" fillId="3" borderId="11" xfId="0" applyNumberFormat="1" applyFont="1" applyFill="1" applyBorder="1"/>
    <xf numFmtId="0" fontId="18" fillId="0" borderId="0" xfId="0" applyFont="1" applyBorder="1" applyAlignment="1">
      <alignment horizontal="center"/>
    </xf>
    <xf numFmtId="0" fontId="17" fillId="0" borderId="0" xfId="0" applyFont="1" applyBorder="1" applyAlignment="1"/>
    <xf numFmtId="0" fontId="17" fillId="0" borderId="11" xfId="0" applyFont="1" applyBorder="1" applyAlignment="1"/>
    <xf numFmtId="0" fontId="18" fillId="0" borderId="0" xfId="0" applyFont="1" applyBorder="1" applyAlignment="1">
      <alignment horizontal="center"/>
    </xf>
    <xf numFmtId="0" fontId="18" fillId="0" borderId="11" xfId="0" applyFont="1" applyBorder="1" applyAlignment="1"/>
    <xf numFmtId="165" fontId="17" fillId="3" borderId="11" xfId="0" applyNumberFormat="1" applyFont="1" applyFill="1" applyBorder="1"/>
    <xf numFmtId="0" fontId="17" fillId="0" borderId="0" xfId="0" applyFont="1" applyBorder="1" applyAlignment="1">
      <alignment horizontal="center"/>
    </xf>
    <xf numFmtId="0" fontId="18" fillId="0" borderId="11" xfId="0" applyFont="1" applyBorder="1" applyAlignment="1">
      <alignment horizontal="right"/>
    </xf>
    <xf numFmtId="0" fontId="3" fillId="0" borderId="0" xfId="0" applyFont="1"/>
    <xf numFmtId="0" fontId="17" fillId="0" borderId="11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/>
    </xf>
    <xf numFmtId="0" fontId="0" fillId="0" borderId="0" xfId="0" applyBorder="1" applyAlignment="1"/>
    <xf numFmtId="0" fontId="18" fillId="0" borderId="0" xfId="0" applyFont="1" applyBorder="1" applyAlignment="1"/>
    <xf numFmtId="4" fontId="18" fillId="0" borderId="0" xfId="0" applyNumberFormat="1" applyFont="1" applyBorder="1" applyAlignment="1">
      <alignment horizontal="center"/>
    </xf>
    <xf numFmtId="164" fontId="18" fillId="0" borderId="0" xfId="0" applyNumberFormat="1" applyFont="1" applyBorder="1" applyAlignment="1">
      <alignment horizontal="center"/>
    </xf>
    <xf numFmtId="0" fontId="21" fillId="0" borderId="0" xfId="0" applyFont="1" applyBorder="1" applyAlignment="1">
      <alignment horizontal="center"/>
    </xf>
    <xf numFmtId="4" fontId="17" fillId="0" borderId="0" xfId="0" applyNumberFormat="1" applyFont="1" applyBorder="1" applyAlignment="1">
      <alignment horizontal="right"/>
    </xf>
    <xf numFmtId="2" fontId="18" fillId="0" borderId="0" xfId="0" applyNumberFormat="1" applyFont="1" applyBorder="1" applyAlignment="1">
      <alignment horizontal="center"/>
    </xf>
    <xf numFmtId="4" fontId="18" fillId="0" borderId="0" xfId="0" applyNumberFormat="1" applyFont="1" applyBorder="1" applyAlignment="1">
      <alignment horizontal="right"/>
    </xf>
    <xf numFmtId="0" fontId="21" fillId="0" borderId="0" xfId="0" applyFont="1" applyBorder="1" applyAlignment="1"/>
    <xf numFmtId="4" fontId="18" fillId="0" borderId="0" xfId="0" applyNumberFormat="1" applyFont="1" applyBorder="1" applyAlignment="1"/>
    <xf numFmtId="4" fontId="17" fillId="0" borderId="0" xfId="0" applyNumberFormat="1" applyFont="1" applyBorder="1" applyAlignment="1">
      <alignment horizontal="center"/>
    </xf>
    <xf numFmtId="4" fontId="17" fillId="0" borderId="0" xfId="0" applyNumberFormat="1" applyFont="1" applyBorder="1" applyAlignment="1"/>
    <xf numFmtId="0" fontId="3" fillId="0" borderId="0" xfId="0" applyFont="1" applyBorder="1" applyAlignment="1"/>
    <xf numFmtId="4" fontId="3" fillId="0" borderId="0" xfId="0" applyNumberFormat="1" applyFont="1" applyBorder="1" applyAlignment="1">
      <alignment horizontal="center"/>
    </xf>
    <xf numFmtId="4" fontId="3" fillId="0" borderId="0" xfId="0" applyNumberFormat="1" applyFont="1" applyBorder="1" applyAlignment="1"/>
    <xf numFmtId="0" fontId="6" fillId="0" borderId="0" xfId="0" applyFont="1" applyBorder="1" applyAlignment="1"/>
    <xf numFmtId="4" fontId="6" fillId="0" borderId="0" xfId="0" applyNumberFormat="1" applyFont="1" applyBorder="1" applyAlignment="1">
      <alignment horizontal="center"/>
    </xf>
    <xf numFmtId="4" fontId="6" fillId="0" borderId="0" xfId="0" applyNumberFormat="1" applyFont="1" applyBorder="1" applyAlignment="1"/>
    <xf numFmtId="0" fontId="5" fillId="0" borderId="0" xfId="0" applyFont="1" applyBorder="1" applyAlignment="1"/>
    <xf numFmtId="0" fontId="5" fillId="0" borderId="0" xfId="0" applyFont="1" applyBorder="1" applyAlignment="1">
      <alignment horizontal="center"/>
    </xf>
    <xf numFmtId="4" fontId="6" fillId="0" borderId="0" xfId="0" applyNumberFormat="1" applyFont="1" applyBorder="1" applyAlignment="1">
      <alignment horizontal="right"/>
    </xf>
    <xf numFmtId="0" fontId="17" fillId="0" borderId="0" xfId="0" applyFont="1" applyBorder="1" applyAlignment="1"/>
    <xf numFmtId="4" fontId="17" fillId="0" borderId="0" xfId="0" applyNumberFormat="1" applyFont="1" applyBorder="1" applyAlignment="1">
      <alignment horizontal="right"/>
    </xf>
    <xf numFmtId="0" fontId="18" fillId="0" borderId="0" xfId="0" applyFont="1" applyBorder="1" applyAlignment="1"/>
    <xf numFmtId="0" fontId="21" fillId="0" borderId="0" xfId="0" applyFont="1" applyBorder="1" applyAlignment="1"/>
    <xf numFmtId="0" fontId="18" fillId="0" borderId="0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/>
    </xf>
    <xf numFmtId="4" fontId="18" fillId="0" borderId="0" xfId="0" applyNumberFormat="1" applyFont="1" applyBorder="1" applyAlignment="1">
      <alignment horizontal="center"/>
    </xf>
    <xf numFmtId="4" fontId="18" fillId="0" borderId="0" xfId="0" applyNumberFormat="1" applyFont="1" applyBorder="1" applyAlignment="1">
      <alignment horizontal="right"/>
    </xf>
    <xf numFmtId="4" fontId="18" fillId="0" borderId="0" xfId="0" applyNumberFormat="1" applyFont="1" applyBorder="1" applyAlignment="1"/>
    <xf numFmtId="2" fontId="18" fillId="0" borderId="0" xfId="0" applyNumberFormat="1" applyFont="1" applyBorder="1" applyAlignment="1"/>
    <xf numFmtId="4" fontId="17" fillId="0" borderId="0" xfId="0" applyNumberFormat="1" applyFont="1" applyBorder="1" applyAlignment="1">
      <alignment horizontal="center"/>
    </xf>
    <xf numFmtId="4" fontId="17" fillId="0" borderId="0" xfId="0" applyNumberFormat="1" applyFont="1" applyBorder="1" applyAlignment="1"/>
    <xf numFmtId="0" fontId="17" fillId="0" borderId="0" xfId="0" applyFont="1" applyBorder="1" applyAlignment="1">
      <alignment horizontal="center"/>
    </xf>
    <xf numFmtId="0" fontId="17" fillId="0" borderId="0" xfId="0" applyFont="1" applyBorder="1" applyAlignment="1">
      <alignment horizontal="left"/>
    </xf>
    <xf numFmtId="0" fontId="18" fillId="0" borderId="0" xfId="0" applyFont="1" applyBorder="1" applyAlignment="1">
      <alignment horizontal="left"/>
    </xf>
    <xf numFmtId="2" fontId="17" fillId="0" borderId="0" xfId="0" applyNumberFormat="1" applyFont="1" applyBorder="1" applyAlignment="1">
      <alignment horizontal="center"/>
    </xf>
    <xf numFmtId="165" fontId="17" fillId="0" borderId="0" xfId="0" applyNumberFormat="1" applyFont="1" applyBorder="1" applyAlignment="1"/>
    <xf numFmtId="0" fontId="18" fillId="0" borderId="0" xfId="0" applyFont="1" applyBorder="1"/>
    <xf numFmtId="0" fontId="19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22" fillId="0" borderId="0" xfId="0" applyFont="1" applyBorder="1" applyAlignment="1">
      <alignment horizontal="center" vertical="center"/>
    </xf>
    <xf numFmtId="0" fontId="23" fillId="0" borderId="0" xfId="0" applyFont="1" applyBorder="1" applyAlignment="1">
      <alignment wrapText="1"/>
    </xf>
    <xf numFmtId="0" fontId="17" fillId="0" borderId="12" xfId="0" applyFont="1" applyBorder="1" applyAlignment="1"/>
    <xf numFmtId="166" fontId="17" fillId="0" borderId="11" xfId="0" applyNumberFormat="1" applyFont="1" applyBorder="1" applyAlignment="1">
      <alignment horizontal="center"/>
    </xf>
    <xf numFmtId="0" fontId="18" fillId="0" borderId="0" xfId="0" applyFont="1" applyBorder="1" applyAlignment="1">
      <alignment wrapText="1"/>
    </xf>
    <xf numFmtId="0" fontId="17" fillId="0" borderId="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18" fillId="0" borderId="0" xfId="0" applyFont="1" applyBorder="1" applyAlignment="1">
      <alignment horizontal="center" wrapText="1"/>
    </xf>
    <xf numFmtId="168" fontId="19" fillId="0" borderId="0" xfId="0" applyNumberFormat="1" applyFont="1"/>
    <xf numFmtId="169" fontId="19" fillId="0" borderId="0" xfId="0" applyNumberFormat="1" applyFont="1"/>
    <xf numFmtId="0" fontId="19" fillId="0" borderId="0" xfId="0" applyFont="1" applyAlignment="1">
      <alignment wrapText="1"/>
    </xf>
    <xf numFmtId="4" fontId="18" fillId="0" borderId="0" xfId="0" applyNumberFormat="1" applyFont="1" applyBorder="1" applyAlignment="1">
      <alignment horizontal="center" wrapText="1"/>
    </xf>
    <xf numFmtId="164" fontId="18" fillId="0" borderId="0" xfId="0" applyNumberFormat="1" applyFont="1" applyBorder="1" applyAlignment="1">
      <alignment horizontal="center" wrapText="1"/>
    </xf>
    <xf numFmtId="0" fontId="18" fillId="0" borderId="11" xfId="0" applyFont="1" applyBorder="1" applyAlignment="1">
      <alignment horizontal="left" wrapText="1"/>
    </xf>
    <xf numFmtId="167" fontId="18" fillId="0" borderId="11" xfId="1" applyFont="1" applyBorder="1" applyAlignment="1" applyProtection="1">
      <alignment horizontal="center"/>
    </xf>
    <xf numFmtId="4" fontId="18" fillId="0" borderId="0" xfId="0" applyNumberFormat="1" applyFont="1" applyBorder="1" applyAlignment="1">
      <alignment horizontal="right" wrapText="1"/>
    </xf>
    <xf numFmtId="167" fontId="17" fillId="0" borderId="0" xfId="0" applyNumberFormat="1" applyFont="1" applyBorder="1" applyAlignment="1"/>
    <xf numFmtId="167" fontId="19" fillId="0" borderId="0" xfId="0" applyNumberFormat="1" applyFont="1"/>
    <xf numFmtId="166" fontId="18" fillId="0" borderId="11" xfId="0" applyNumberFormat="1" applyFont="1" applyBorder="1" applyAlignment="1"/>
    <xf numFmtId="165" fontId="19" fillId="0" borderId="0" xfId="0" applyNumberFormat="1" applyFont="1"/>
    <xf numFmtId="167" fontId="17" fillId="0" borderId="0" xfId="0" applyNumberFormat="1" applyFont="1" applyBorder="1" applyAlignment="1">
      <alignment horizontal="center"/>
    </xf>
    <xf numFmtId="9" fontId="18" fillId="0" borderId="0" xfId="0" applyNumberFormat="1" applyFont="1" applyBorder="1" applyAlignment="1">
      <alignment horizontal="center" wrapText="1"/>
    </xf>
    <xf numFmtId="0" fontId="17" fillId="0" borderId="0" xfId="0" applyFont="1"/>
    <xf numFmtId="0" fontId="18" fillId="0" borderId="0" xfId="0" applyFont="1"/>
    <xf numFmtId="0" fontId="17" fillId="0" borderId="0" xfId="0" applyFont="1" applyBorder="1" applyAlignment="1">
      <alignment wrapText="1"/>
    </xf>
    <xf numFmtId="4" fontId="17" fillId="0" borderId="0" xfId="0" applyNumberFormat="1" applyFont="1" applyBorder="1" applyAlignment="1">
      <alignment horizontal="right" wrapText="1"/>
    </xf>
    <xf numFmtId="0" fontId="17" fillId="4" borderId="11" xfId="0" applyFont="1" applyFill="1" applyBorder="1"/>
    <xf numFmtId="0" fontId="17" fillId="4" borderId="11" xfId="0" applyFont="1" applyFill="1" applyBorder="1" applyAlignment="1">
      <alignment horizontal="center"/>
    </xf>
    <xf numFmtId="4" fontId="0" fillId="0" borderId="0" xfId="0" applyNumberFormat="1" applyBorder="1" applyAlignment="1">
      <alignment wrapText="1"/>
    </xf>
    <xf numFmtId="0" fontId="21" fillId="0" borderId="0" xfId="0" applyFont="1" applyBorder="1" applyAlignment="1">
      <alignment wrapText="1"/>
    </xf>
    <xf numFmtId="0" fontId="21" fillId="0" borderId="0" xfId="0" applyFont="1" applyBorder="1" applyAlignment="1">
      <alignment horizontal="center" wrapText="1"/>
    </xf>
    <xf numFmtId="4" fontId="18" fillId="0" borderId="0" xfId="0" applyNumberFormat="1" applyFont="1" applyBorder="1" applyAlignment="1">
      <alignment wrapText="1"/>
    </xf>
    <xf numFmtId="4" fontId="17" fillId="0" borderId="0" xfId="0" applyNumberFormat="1" applyFont="1" applyBorder="1" applyAlignment="1">
      <alignment horizontal="center" wrapText="1"/>
    </xf>
    <xf numFmtId="4" fontId="17" fillId="0" borderId="0" xfId="0" applyNumberFormat="1" applyFont="1" applyBorder="1" applyAlignment="1">
      <alignment wrapText="1"/>
    </xf>
    <xf numFmtId="0" fontId="17" fillId="4" borderId="11" xfId="0" applyFont="1" applyFill="1" applyBorder="1" applyAlignment="1">
      <alignment wrapText="1"/>
    </xf>
    <xf numFmtId="4" fontId="17" fillId="4" borderId="11" xfId="0" applyNumberFormat="1" applyFont="1" applyFill="1" applyBorder="1" applyAlignment="1">
      <alignment horizontal="center" wrapText="1"/>
    </xf>
    <xf numFmtId="4" fontId="17" fillId="4" borderId="11" xfId="0" applyNumberFormat="1" applyFont="1" applyFill="1" applyBorder="1" applyAlignment="1">
      <alignment horizontal="center"/>
    </xf>
    <xf numFmtId="0" fontId="17" fillId="3" borderId="11" xfId="0" applyFont="1" applyFill="1" applyBorder="1" applyAlignment="1">
      <alignment horizontal="left" vertical="center" wrapText="1"/>
    </xf>
    <xf numFmtId="0" fontId="17" fillId="0" borderId="0" xfId="0" applyFont="1" applyBorder="1" applyAlignment="1">
      <alignment horizontal="left" vertical="center" wrapText="1"/>
    </xf>
    <xf numFmtId="2" fontId="17" fillId="0" borderId="11" xfId="0" applyNumberFormat="1" applyFont="1" applyBorder="1" applyAlignment="1">
      <alignment horizontal="center" wrapText="1"/>
    </xf>
    <xf numFmtId="2" fontId="18" fillId="0" borderId="0" xfId="0" applyNumberFormat="1" applyFont="1"/>
    <xf numFmtId="0" fontId="18" fillId="0" borderId="0" xfId="0" applyFont="1" applyAlignment="1">
      <alignment horizontal="left" wrapText="1"/>
    </xf>
    <xf numFmtId="2" fontId="19" fillId="0" borderId="0" xfId="0" applyNumberFormat="1" applyFont="1"/>
    <xf numFmtId="0" fontId="24" fillId="0" borderId="0" xfId="0" applyFont="1"/>
    <xf numFmtId="0" fontId="25" fillId="0" borderId="0" xfId="0" applyFont="1"/>
    <xf numFmtId="10" fontId="18" fillId="0" borderId="0" xfId="2" applyNumberFormat="1" applyFont="1" applyBorder="1" applyAlignment="1" applyProtection="1"/>
    <xf numFmtId="4" fontId="17" fillId="0" borderId="0" xfId="0" applyNumberFormat="1" applyFont="1" applyBorder="1"/>
    <xf numFmtId="171" fontId="18" fillId="0" borderId="11" xfId="0" applyNumberFormat="1" applyFont="1" applyBorder="1"/>
    <xf numFmtId="0" fontId="17" fillId="0" borderId="0" xfId="0" applyFont="1" applyAlignment="1">
      <alignment horizontal="center"/>
    </xf>
    <xf numFmtId="0" fontId="18" fillId="0" borderId="0" xfId="0" applyFont="1" applyBorder="1" applyAlignment="1">
      <alignment horizontal="justify" wrapText="1"/>
    </xf>
    <xf numFmtId="0" fontId="17" fillId="5" borderId="11" xfId="0" applyFont="1" applyFill="1" applyBorder="1" applyAlignment="1">
      <alignment horizontal="justify" wrapText="1"/>
    </xf>
    <xf numFmtId="0" fontId="17" fillId="5" borderId="11" xfId="0" applyFont="1" applyFill="1" applyBorder="1" applyAlignment="1">
      <alignment horizontal="center" vertical="top" wrapText="1"/>
    </xf>
    <xf numFmtId="0" fontId="18" fillId="0" borderId="0" xfId="0" applyFont="1" applyBorder="1" applyAlignment="1">
      <alignment horizontal="center" wrapText="1"/>
    </xf>
    <xf numFmtId="0" fontId="18" fillId="0" borderId="0" xfId="0" applyFont="1" applyAlignment="1"/>
    <xf numFmtId="0" fontId="0" fillId="0" borderId="0" xfId="0" applyAlignment="1"/>
    <xf numFmtId="3" fontId="17" fillId="0" borderId="17" xfId="0" applyNumberFormat="1" applyFont="1" applyBorder="1" applyAlignment="1">
      <alignment horizontal="center" vertical="top"/>
    </xf>
    <xf numFmtId="3" fontId="17" fillId="2" borderId="1" xfId="0" applyNumberFormat="1" applyFont="1" applyFill="1" applyBorder="1" applyAlignment="1">
      <alignment horizontal="center" vertical="top"/>
    </xf>
    <xf numFmtId="3" fontId="17" fillId="2" borderId="18" xfId="0" applyNumberFormat="1" applyFont="1" applyFill="1" applyBorder="1" applyAlignment="1">
      <alignment horizontal="center" vertical="top"/>
    </xf>
    <xf numFmtId="0" fontId="17" fillId="0" borderId="0" xfId="0" applyFont="1" applyBorder="1"/>
    <xf numFmtId="0" fontId="18" fillId="0" borderId="0" xfId="0" applyFont="1" applyBorder="1"/>
    <xf numFmtId="0" fontId="0" fillId="0" borderId="0" xfId="0"/>
    <xf numFmtId="2" fontId="17" fillId="0" borderId="11" xfId="0" applyNumberFormat="1" applyFont="1" applyBorder="1" applyAlignment="1">
      <alignment horizontal="center" vertical="center" wrapText="1"/>
    </xf>
    <xf numFmtId="172" fontId="18" fillId="0" borderId="11" xfId="0" applyNumberFormat="1" applyFont="1" applyBorder="1" applyAlignment="1">
      <alignment horizontal="center"/>
    </xf>
    <xf numFmtId="3" fontId="18" fillId="0" borderId="11" xfId="0" applyNumberFormat="1" applyFont="1" applyBorder="1" applyAlignment="1">
      <alignment horizontal="center"/>
    </xf>
    <xf numFmtId="171" fontId="18" fillId="0" borderId="11" xfId="0" applyNumberFormat="1" applyFont="1" applyBorder="1" applyAlignment="1">
      <alignment horizontal="center"/>
    </xf>
    <xf numFmtId="172" fontId="17" fillId="0" borderId="11" xfId="0" applyNumberFormat="1" applyFont="1" applyBorder="1" applyAlignment="1">
      <alignment horizontal="center"/>
    </xf>
    <xf numFmtId="3" fontId="17" fillId="0" borderId="11" xfId="0" applyNumberFormat="1" applyFont="1" applyBorder="1" applyAlignment="1">
      <alignment horizontal="center"/>
    </xf>
    <xf numFmtId="172" fontId="17" fillId="3" borderId="11" xfId="0" applyNumberFormat="1" applyFont="1" applyFill="1" applyBorder="1" applyAlignment="1">
      <alignment horizontal="center"/>
    </xf>
    <xf numFmtId="172" fontId="17" fillId="0" borderId="0" xfId="0" applyNumberFormat="1" applyFont="1" applyBorder="1" applyAlignment="1">
      <alignment horizontal="right" wrapText="1"/>
    </xf>
    <xf numFmtId="172" fontId="18" fillId="0" borderId="0" xfId="0" applyNumberFormat="1" applyFont="1"/>
    <xf numFmtId="0" fontId="18" fillId="0" borderId="11" xfId="0" applyFont="1" applyBorder="1" applyAlignment="1">
      <alignment horizontal="left"/>
    </xf>
    <xf numFmtId="171" fontId="18" fillId="0" borderId="11" xfId="0" applyNumberFormat="1" applyFont="1" applyBorder="1" applyAlignment="1">
      <alignment horizontal="right"/>
    </xf>
    <xf numFmtId="1" fontId="17" fillId="0" borderId="11" xfId="0" applyNumberFormat="1" applyFont="1" applyBorder="1"/>
    <xf numFmtId="0" fontId="19" fillId="0" borderId="0" xfId="0" applyFont="1" applyBorder="1" applyAlignment="1">
      <alignment horizontal="left" wrapText="1"/>
    </xf>
    <xf numFmtId="172" fontId="17" fillId="0" borderId="11" xfId="0" applyNumberFormat="1" applyFont="1" applyBorder="1" applyAlignment="1">
      <alignment horizontal="right"/>
    </xf>
    <xf numFmtId="172" fontId="17" fillId="0" borderId="11" xfId="0" applyNumberFormat="1" applyFont="1" applyBorder="1" applyAlignment="1">
      <alignment horizontal="right" wrapText="1"/>
    </xf>
    <xf numFmtId="172" fontId="18" fillId="0" borderId="11" xfId="0" applyNumberFormat="1" applyFont="1" applyBorder="1" applyAlignment="1">
      <alignment horizontal="right" wrapText="1"/>
    </xf>
    <xf numFmtId="0" fontId="19" fillId="0" borderId="0" xfId="0" applyFont="1" applyAlignment="1">
      <alignment horizontal="left"/>
    </xf>
    <xf numFmtId="4" fontId="17" fillId="0" borderId="0" xfId="0" applyNumberFormat="1" applyFont="1" applyBorder="1" applyAlignment="1">
      <alignment horizontal="left"/>
    </xf>
    <xf numFmtId="4" fontId="18" fillId="0" borderId="0" xfId="0" applyNumberFormat="1" applyFont="1"/>
    <xf numFmtId="0" fontId="18" fillId="0" borderId="0" xfId="0" applyFont="1" applyBorder="1" applyAlignment="1">
      <alignment wrapText="1"/>
    </xf>
    <xf numFmtId="4" fontId="18" fillId="0" borderId="0" xfId="0" applyNumberFormat="1" applyFont="1" applyBorder="1" applyAlignment="1">
      <alignment horizontal="center" wrapText="1"/>
    </xf>
    <xf numFmtId="4" fontId="18" fillId="0" borderId="0" xfId="0" applyNumberFormat="1" applyFont="1" applyBorder="1" applyAlignment="1">
      <alignment wrapText="1"/>
    </xf>
    <xf numFmtId="0" fontId="0" fillId="0" borderId="0" xfId="0" applyBorder="1"/>
    <xf numFmtId="0" fontId="17" fillId="3" borderId="11" xfId="0" applyFont="1" applyFill="1" applyBorder="1" applyAlignment="1"/>
    <xf numFmtId="0" fontId="17" fillId="3" borderId="12" xfId="0" applyFont="1" applyFill="1" applyBorder="1" applyAlignment="1"/>
    <xf numFmtId="0" fontId="17" fillId="3" borderId="13" xfId="0" applyFont="1" applyFill="1" applyBorder="1" applyAlignment="1"/>
    <xf numFmtId="172" fontId="17" fillId="3" borderId="11" xfId="0" applyNumberFormat="1" applyFont="1" applyFill="1" applyBorder="1" applyAlignment="1">
      <alignment horizontal="right"/>
    </xf>
    <xf numFmtId="0" fontId="17" fillId="0" borderId="0" xfId="0" applyFont="1" applyBorder="1" applyAlignment="1">
      <alignment wrapText="1"/>
    </xf>
    <xf numFmtId="4" fontId="17" fillId="0" borderId="0" xfId="0" applyNumberFormat="1" applyFont="1" applyBorder="1" applyAlignment="1">
      <alignment horizontal="center" wrapText="1"/>
    </xf>
    <xf numFmtId="4" fontId="17" fillId="0" borderId="0" xfId="0" applyNumberFormat="1" applyFont="1" applyBorder="1" applyAlignment="1">
      <alignment wrapText="1"/>
    </xf>
    <xf numFmtId="4" fontId="17" fillId="0" borderId="0" xfId="0" applyNumberFormat="1" applyFont="1" applyBorder="1" applyAlignment="1">
      <alignment horizontal="right" wrapText="1"/>
    </xf>
    <xf numFmtId="172" fontId="17" fillId="0" borderId="0" xfId="0" applyNumberFormat="1" applyFont="1" applyBorder="1" applyAlignment="1">
      <alignment horizontal="right"/>
    </xf>
    <xf numFmtId="0" fontId="26" fillId="0" borderId="0" xfId="0" applyFont="1"/>
    <xf numFmtId="0" fontId="27" fillId="0" borderId="0" xfId="0" applyFont="1"/>
    <xf numFmtId="0" fontId="22" fillId="0" borderId="0" xfId="0" applyFont="1" applyBorder="1" applyAlignment="1">
      <alignment wrapText="1"/>
    </xf>
    <xf numFmtId="4" fontId="18" fillId="0" borderId="0" xfId="0" applyNumberFormat="1" applyFont="1" applyBorder="1" applyAlignment="1">
      <alignment horizontal="right" wrapText="1"/>
    </xf>
    <xf numFmtId="0" fontId="17" fillId="0" borderId="19" xfId="0" applyFont="1" applyBorder="1" applyAlignment="1">
      <alignment horizontal="center"/>
    </xf>
    <xf numFmtId="0" fontId="17" fillId="3" borderId="11" xfId="0" applyFont="1" applyFill="1" applyBorder="1" applyAlignment="1">
      <alignment horizontal="center"/>
    </xf>
    <xf numFmtId="0" fontId="6" fillId="3" borderId="11" xfId="0" applyFont="1" applyFill="1" applyBorder="1" applyAlignment="1">
      <alignment horizontal="center"/>
    </xf>
    <xf numFmtId="0" fontId="0" fillId="0" borderId="0" xfId="0" applyBorder="1" applyAlignment="1">
      <alignment wrapText="1"/>
    </xf>
    <xf numFmtId="0" fontId="17" fillId="0" borderId="0" xfId="0" applyFont="1" applyBorder="1" applyAlignment="1">
      <alignment horizontal="center" wrapText="1"/>
    </xf>
    <xf numFmtId="0" fontId="6" fillId="0" borderId="0" xfId="0" applyFont="1" applyBorder="1" applyAlignment="1">
      <alignment horizontal="center"/>
    </xf>
    <xf numFmtId="0" fontId="17" fillId="6" borderId="11" xfId="0" applyFont="1" applyFill="1" applyBorder="1" applyAlignment="1">
      <alignment horizontal="center"/>
    </xf>
    <xf numFmtId="0" fontId="19" fillId="0" borderId="0" xfId="0" applyFont="1" applyBorder="1"/>
    <xf numFmtId="0" fontId="21" fillId="7" borderId="11" xfId="0" applyFont="1" applyFill="1" applyBorder="1" applyAlignment="1">
      <alignment horizontal="center"/>
    </xf>
    <xf numFmtId="0" fontId="21" fillId="6" borderId="11" xfId="0" applyFont="1" applyFill="1" applyBorder="1" applyAlignment="1">
      <alignment horizontal="center"/>
    </xf>
    <xf numFmtId="166" fontId="18" fillId="0" borderId="11" xfId="1" applyNumberFormat="1" applyFont="1" applyBorder="1" applyAlignment="1" applyProtection="1"/>
    <xf numFmtId="167" fontId="18" fillId="0" borderId="11" xfId="1" applyFont="1" applyBorder="1" applyAlignment="1" applyProtection="1"/>
    <xf numFmtId="167" fontId="18" fillId="0" borderId="0" xfId="1" applyFont="1" applyBorder="1" applyAlignment="1" applyProtection="1"/>
    <xf numFmtId="164" fontId="18" fillId="0" borderId="0" xfId="0" applyNumberFormat="1" applyFont="1" applyBorder="1" applyAlignment="1">
      <alignment horizontal="center" wrapText="1"/>
    </xf>
    <xf numFmtId="166" fontId="3" fillId="0" borderId="11" xfId="1" applyNumberFormat="1" applyFont="1" applyBorder="1" applyAlignment="1" applyProtection="1"/>
    <xf numFmtId="167" fontId="3" fillId="0" borderId="11" xfId="1" applyFont="1" applyBorder="1" applyAlignment="1" applyProtection="1"/>
    <xf numFmtId="167" fontId="25" fillId="0" borderId="0" xfId="1" applyFont="1" applyBorder="1" applyAlignment="1" applyProtection="1"/>
    <xf numFmtId="166" fontId="17" fillId="3" borderId="11" xfId="0" applyNumberFormat="1" applyFont="1" applyFill="1" applyBorder="1" applyAlignment="1"/>
    <xf numFmtId="167" fontId="17" fillId="3" borderId="11" xfId="1" applyFont="1" applyFill="1" applyBorder="1" applyAlignment="1" applyProtection="1"/>
    <xf numFmtId="167" fontId="17" fillId="0" borderId="0" xfId="1" applyFont="1" applyBorder="1" applyAlignment="1" applyProtection="1"/>
    <xf numFmtId="166" fontId="17" fillId="0" borderId="0" xfId="0" applyNumberFormat="1" applyFont="1" applyBorder="1" applyAlignment="1"/>
    <xf numFmtId="0" fontId="28" fillId="0" borderId="0" xfId="0" applyFont="1" applyBorder="1" applyAlignment="1">
      <alignment horizontal="left"/>
    </xf>
    <xf numFmtId="167" fontId="17" fillId="0" borderId="11" xfId="1" applyFont="1" applyBorder="1" applyAlignment="1" applyProtection="1"/>
    <xf numFmtId="167" fontId="3" fillId="0" borderId="11" xfId="1" applyFont="1" applyBorder="1" applyAlignment="1" applyProtection="1">
      <alignment horizontal="right"/>
    </xf>
    <xf numFmtId="3" fontId="17" fillId="0" borderId="11" xfId="0" applyNumberFormat="1" applyFont="1" applyBorder="1" applyAlignment="1">
      <alignment horizontal="right"/>
    </xf>
    <xf numFmtId="173" fontId="18" fillId="0" borderId="0" xfId="0" applyNumberFormat="1" applyFont="1"/>
    <xf numFmtId="172" fontId="17" fillId="0" borderId="11" xfId="0" applyNumberFormat="1" applyFont="1" applyBorder="1"/>
    <xf numFmtId="172" fontId="17" fillId="0" borderId="0" xfId="0" applyNumberFormat="1" applyFont="1" applyBorder="1"/>
    <xf numFmtId="0" fontId="27" fillId="0" borderId="0" xfId="0" applyFont="1" applyBorder="1" applyAlignment="1">
      <alignment horizontal="left"/>
    </xf>
    <xf numFmtId="0" fontId="17" fillId="0" borderId="0" xfId="0" applyFont="1" applyBorder="1" applyAlignment="1">
      <alignment horizontal="left"/>
    </xf>
    <xf numFmtId="167" fontId="6" fillId="0" borderId="0" xfId="0" applyNumberFormat="1" applyFont="1" applyBorder="1"/>
    <xf numFmtId="167" fontId="3" fillId="0" borderId="0" xfId="0" applyNumberFormat="1" applyFont="1" applyBorder="1" applyAlignment="1">
      <alignment horizontal="left"/>
    </xf>
    <xf numFmtId="3" fontId="17" fillId="0" borderId="0" xfId="0" applyNumberFormat="1" applyFont="1" applyBorder="1" applyAlignment="1">
      <alignment horizontal="right"/>
    </xf>
    <xf numFmtId="167" fontId="3" fillId="0" borderId="0" xfId="0" applyNumberFormat="1" applyFont="1" applyBorder="1" applyAlignment="1">
      <alignment horizontal="right"/>
    </xf>
    <xf numFmtId="166" fontId="17" fillId="0" borderId="11" xfId="0" applyNumberFormat="1" applyFont="1" applyBorder="1"/>
    <xf numFmtId="167" fontId="18" fillId="0" borderId="11" xfId="1" applyFont="1" applyBorder="1" applyAlignment="1" applyProtection="1">
      <alignment horizontal="right"/>
    </xf>
    <xf numFmtId="9" fontId="18" fillId="0" borderId="11" xfId="0" applyNumberFormat="1" applyFont="1" applyBorder="1" applyAlignment="1">
      <alignment horizontal="right"/>
    </xf>
    <xf numFmtId="0" fontId="18" fillId="0" borderId="20" xfId="0" applyFont="1" applyBorder="1" applyAlignment="1">
      <alignment horizontal="left" vertical="top"/>
    </xf>
    <xf numFmtId="166" fontId="18" fillId="0" borderId="11" xfId="0" applyNumberFormat="1" applyFont="1" applyBorder="1" applyAlignment="1">
      <alignment horizontal="right"/>
    </xf>
    <xf numFmtId="167" fontId="6" fillId="0" borderId="11" xfId="1" applyFont="1" applyBorder="1" applyAlignment="1" applyProtection="1">
      <alignment horizontal="right"/>
    </xf>
    <xf numFmtId="0" fontId="18" fillId="0" borderId="0" xfId="0" applyFont="1" applyAlignment="1">
      <alignment horizontal="right"/>
    </xf>
    <xf numFmtId="0" fontId="18" fillId="0" borderId="0" xfId="0" applyFont="1" applyBorder="1" applyAlignment="1">
      <alignment horizontal="left"/>
    </xf>
    <xf numFmtId="0" fontId="18" fillId="0" borderId="0" xfId="0" applyFont="1" applyAlignment="1">
      <alignment horizontal="left"/>
    </xf>
    <xf numFmtId="0" fontId="17" fillId="0" borderId="0" xfId="0" applyFont="1" applyBorder="1" applyAlignment="1">
      <alignment horizontal="center" vertical="center" shrinkToFit="1"/>
    </xf>
    <xf numFmtId="0" fontId="17" fillId="0" borderId="0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left"/>
    </xf>
    <xf numFmtId="175" fontId="18" fillId="0" borderId="0" xfId="0" applyNumberFormat="1" applyFont="1" applyBorder="1" applyAlignment="1">
      <alignment horizontal="center"/>
    </xf>
    <xf numFmtId="168" fontId="18" fillId="0" borderId="0" xfId="0" applyNumberFormat="1" applyFont="1"/>
    <xf numFmtId="4" fontId="19" fillId="0" borderId="0" xfId="0" applyNumberFormat="1" applyFont="1" applyBorder="1" applyAlignment="1">
      <alignment horizontal="center" wrapText="1"/>
    </xf>
    <xf numFmtId="0" fontId="23" fillId="0" borderId="0" xfId="0" applyFont="1" applyBorder="1" applyAlignment="1">
      <alignment horizontal="center" wrapText="1"/>
    </xf>
    <xf numFmtId="0" fontId="29" fillId="0" borderId="0" xfId="0" applyFont="1" applyBorder="1" applyAlignment="1">
      <alignment wrapText="1"/>
    </xf>
    <xf numFmtId="0" fontId="29" fillId="0" borderId="0" xfId="0" applyFont="1" applyBorder="1" applyAlignment="1">
      <alignment horizontal="center" wrapText="1"/>
    </xf>
    <xf numFmtId="167" fontId="18" fillId="0" borderId="0" xfId="0" applyNumberFormat="1" applyFont="1"/>
    <xf numFmtId="3" fontId="3" fillId="0" borderId="11" xfId="0" applyNumberFormat="1" applyFont="1" applyBorder="1"/>
    <xf numFmtId="176" fontId="3" fillId="0" borderId="11" xfId="1" applyNumberFormat="1" applyFont="1" applyBorder="1" applyAlignment="1" applyProtection="1"/>
    <xf numFmtId="4" fontId="23" fillId="0" borderId="0" xfId="0" applyNumberFormat="1" applyFont="1" applyBorder="1" applyAlignment="1">
      <alignment horizontal="center" wrapText="1"/>
    </xf>
    <xf numFmtId="167" fontId="6" fillId="0" borderId="11" xfId="1" applyFont="1" applyBorder="1" applyAlignment="1" applyProtection="1"/>
    <xf numFmtId="0" fontId="30" fillId="0" borderId="0" xfId="0" applyFont="1"/>
    <xf numFmtId="177" fontId="3" fillId="0" borderId="11" xfId="1" applyNumberFormat="1" applyFont="1" applyBorder="1" applyAlignment="1" applyProtection="1"/>
    <xf numFmtId="0" fontId="19" fillId="0" borderId="0" xfId="0" applyFont="1" applyBorder="1" applyAlignment="1">
      <alignment wrapText="1"/>
    </xf>
    <xf numFmtId="4" fontId="23" fillId="0" borderId="0" xfId="0" applyNumberFormat="1" applyFont="1" applyBorder="1" applyAlignment="1">
      <alignment horizontal="center" wrapText="1"/>
    </xf>
    <xf numFmtId="0" fontId="23" fillId="0" borderId="0" xfId="0" applyFont="1" applyBorder="1" applyAlignment="1">
      <alignment wrapText="1"/>
    </xf>
    <xf numFmtId="0" fontId="19" fillId="0" borderId="0" xfId="0" applyFont="1" applyBorder="1" applyAlignment="1">
      <alignment horizontal="center" wrapText="1"/>
    </xf>
    <xf numFmtId="0" fontId="3" fillId="0" borderId="11" xfId="0" applyFont="1" applyBorder="1" applyAlignment="1">
      <alignment horizontal="right"/>
    </xf>
    <xf numFmtId="0" fontId="31" fillId="0" borderId="0" xfId="0" applyFont="1"/>
    <xf numFmtId="0" fontId="23" fillId="0" borderId="0" xfId="0" applyFont="1" applyBorder="1" applyAlignment="1">
      <alignment horizontal="center" wrapText="1"/>
    </xf>
    <xf numFmtId="167" fontId="3" fillId="0" borderId="13" xfId="1" applyFont="1" applyBorder="1" applyAlignment="1" applyProtection="1">
      <alignment horizontal="center"/>
    </xf>
    <xf numFmtId="0" fontId="29" fillId="0" borderId="0" xfId="0" applyFont="1" applyBorder="1" applyAlignment="1">
      <alignment wrapText="1"/>
    </xf>
    <xf numFmtId="0" fontId="19" fillId="0" borderId="0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center" wrapText="1"/>
    </xf>
    <xf numFmtId="3" fontId="3" fillId="0" borderId="13" xfId="1" applyNumberFormat="1" applyFont="1" applyBorder="1" applyAlignment="1" applyProtection="1">
      <alignment horizontal="right"/>
    </xf>
    <xf numFmtId="169" fontId="3" fillId="0" borderId="13" xfId="1" applyNumberFormat="1" applyFont="1" applyBorder="1" applyAlignment="1" applyProtection="1">
      <alignment horizontal="right"/>
    </xf>
    <xf numFmtId="167" fontId="3" fillId="0" borderId="13" xfId="1" applyFont="1" applyBorder="1" applyAlignment="1" applyProtection="1"/>
    <xf numFmtId="4" fontId="19" fillId="0" borderId="0" xfId="0" applyNumberFormat="1" applyFont="1" applyBorder="1" applyAlignment="1">
      <alignment horizontal="center" wrapText="1"/>
    </xf>
    <xf numFmtId="166" fontId="3" fillId="0" borderId="11" xfId="0" applyNumberFormat="1" applyFont="1" applyBorder="1"/>
    <xf numFmtId="176" fontId="3" fillId="0" borderId="11" xfId="0" applyNumberFormat="1" applyFont="1" applyBorder="1"/>
    <xf numFmtId="167" fontId="3" fillId="0" borderId="11" xfId="0" applyNumberFormat="1" applyFont="1" applyBorder="1"/>
    <xf numFmtId="167" fontId="6" fillId="0" borderId="11" xfId="0" applyNumberFormat="1" applyFont="1" applyBorder="1"/>
    <xf numFmtId="165" fontId="18" fillId="0" borderId="11" xfId="0" applyNumberFormat="1" applyFont="1" applyBorder="1"/>
    <xf numFmtId="169" fontId="18" fillId="0" borderId="11" xfId="0" applyNumberFormat="1" applyFont="1" applyBorder="1" applyAlignment="1">
      <alignment horizontal="right"/>
    </xf>
    <xf numFmtId="2" fontId="18" fillId="0" borderId="11" xfId="0" applyNumberFormat="1" applyFont="1" applyBorder="1"/>
    <xf numFmtId="166" fontId="18" fillId="0" borderId="11" xfId="0" applyNumberFormat="1" applyFont="1" applyBorder="1"/>
    <xf numFmtId="166" fontId="18" fillId="0" borderId="0" xfId="0" applyNumberFormat="1" applyFont="1" applyBorder="1" applyAlignment="1">
      <alignment horizontal="center"/>
    </xf>
    <xf numFmtId="4" fontId="7" fillId="0" borderId="0" xfId="0" applyNumberFormat="1" applyFont="1" applyBorder="1" applyAlignment="1">
      <alignment horizontal="center" wrapText="1"/>
    </xf>
    <xf numFmtId="4" fontId="3" fillId="0" borderId="0" xfId="0" applyNumberFormat="1" applyFont="1" applyBorder="1" applyAlignment="1">
      <alignment wrapText="1"/>
    </xf>
    <xf numFmtId="168" fontId="18" fillId="0" borderId="11" xfId="0" applyNumberFormat="1" applyFont="1" applyBorder="1"/>
    <xf numFmtId="168" fontId="17" fillId="0" borderId="0" xfId="0" applyNumberFormat="1" applyFont="1" applyBorder="1"/>
    <xf numFmtId="167" fontId="17" fillId="0" borderId="0" xfId="0" applyNumberFormat="1" applyFont="1" applyBorder="1" applyAlignment="1"/>
    <xf numFmtId="0" fontId="19" fillId="0" borderId="0" xfId="0" applyFont="1" applyBorder="1"/>
    <xf numFmtId="0" fontId="19" fillId="0" borderId="0" xfId="0" applyFont="1" applyBorder="1" applyAlignment="1">
      <alignment horizontal="center"/>
    </xf>
    <xf numFmtId="0" fontId="19" fillId="0" borderId="0" xfId="0" applyFont="1"/>
    <xf numFmtId="166" fontId="6" fillId="0" borderId="11" xfId="0" applyNumberFormat="1" applyFont="1" applyBorder="1"/>
    <xf numFmtId="0" fontId="6" fillId="0" borderId="0" xfId="0" applyFont="1" applyBorder="1" applyAlignment="1">
      <alignment horizontal="left"/>
    </xf>
    <xf numFmtId="166" fontId="6" fillId="0" borderId="0" xfId="0" applyNumberFormat="1" applyFont="1" applyBorder="1"/>
    <xf numFmtId="0" fontId="21" fillId="0" borderId="0" xfId="0" applyFont="1"/>
    <xf numFmtId="167" fontId="18" fillId="0" borderId="11" xfId="0" applyNumberFormat="1" applyFont="1" applyBorder="1"/>
    <xf numFmtId="167" fontId="18" fillId="0" borderId="11" xfId="0" applyNumberFormat="1" applyFont="1" applyBorder="1"/>
    <xf numFmtId="173" fontId="18" fillId="0" borderId="0" xfId="0" applyNumberFormat="1" applyFont="1"/>
    <xf numFmtId="166" fontId="17" fillId="0" borderId="11" xfId="0" applyNumberFormat="1" applyFont="1" applyBorder="1" applyAlignment="1">
      <alignment horizontal="right"/>
    </xf>
    <xf numFmtId="166" fontId="17" fillId="0" borderId="0" xfId="0" applyNumberFormat="1" applyFont="1" applyBorder="1" applyAlignment="1">
      <alignment horizontal="right"/>
    </xf>
    <xf numFmtId="3" fontId="18" fillId="0" borderId="11" xfId="0" applyNumberFormat="1" applyFont="1" applyBorder="1"/>
    <xf numFmtId="166" fontId="17" fillId="0" borderId="0" xfId="0" applyNumberFormat="1" applyFont="1" applyBorder="1"/>
    <xf numFmtId="0" fontId="18" fillId="0" borderId="0" xfId="0" applyFont="1" applyBorder="1" applyAlignment="1">
      <alignment horizontal="left" wrapText="1"/>
    </xf>
    <xf numFmtId="0" fontId="18" fillId="0" borderId="0" xfId="0" applyFont="1" applyAlignment="1">
      <alignment horizontal="left" vertical="center"/>
    </xf>
    <xf numFmtId="0" fontId="19" fillId="0" borderId="11" xfId="0" applyFont="1" applyBorder="1" applyAlignment="1">
      <alignment horizontal="left" vertical="center"/>
    </xf>
    <xf numFmtId="169" fontId="18" fillId="0" borderId="11" xfId="0" applyNumberFormat="1" applyFont="1" applyBorder="1"/>
    <xf numFmtId="0" fontId="22" fillId="0" borderId="0" xfId="0" applyFont="1"/>
    <xf numFmtId="0" fontId="18" fillId="0" borderId="0" xfId="0" applyFont="1" applyAlignment="1">
      <alignment vertical="center"/>
    </xf>
    <xf numFmtId="0" fontId="19" fillId="0" borderId="0" xfId="0" applyFont="1" applyAlignment="1">
      <alignment horizontal="left" vertical="center"/>
    </xf>
    <xf numFmtId="0" fontId="19" fillId="0" borderId="11" xfId="0" applyFont="1" applyBorder="1" applyAlignment="1">
      <alignment horizontal="left"/>
    </xf>
    <xf numFmtId="167" fontId="17" fillId="0" borderId="11" xfId="0" applyNumberFormat="1" applyFont="1" applyBorder="1"/>
    <xf numFmtId="178" fontId="8" fillId="0" borderId="0" xfId="0" applyNumberFormat="1" applyFont="1" applyBorder="1"/>
    <xf numFmtId="178" fontId="0" fillId="0" borderId="0" xfId="0" applyNumberFormat="1" applyBorder="1"/>
    <xf numFmtId="0" fontId="23" fillId="0" borderId="0" xfId="0" applyFont="1" applyBorder="1" applyAlignment="1">
      <alignment horizontal="left"/>
    </xf>
    <xf numFmtId="167" fontId="23" fillId="0" borderId="0" xfId="0" applyNumberFormat="1" applyFont="1" applyBorder="1"/>
    <xf numFmtId="0" fontId="19" fillId="0" borderId="0" xfId="0" applyFont="1" applyAlignment="1">
      <alignment horizontal="right"/>
    </xf>
    <xf numFmtId="0" fontId="27" fillId="0" borderId="0" xfId="0" applyFont="1"/>
    <xf numFmtId="0" fontId="17" fillId="4" borderId="11" xfId="0" applyFont="1" applyFill="1" applyBorder="1" applyAlignment="1">
      <alignment horizontal="center" wrapText="1"/>
    </xf>
    <xf numFmtId="167" fontId="18" fillId="0" borderId="0" xfId="1" applyFont="1" applyBorder="1" applyAlignment="1" applyProtection="1">
      <alignment horizontal="center"/>
    </xf>
    <xf numFmtId="166" fontId="17" fillId="0" borderId="0" xfId="0" applyNumberFormat="1" applyFont="1" applyBorder="1"/>
    <xf numFmtId="167" fontId="17" fillId="0" borderId="0" xfId="0" applyNumberFormat="1" applyFont="1" applyBorder="1"/>
    <xf numFmtId="167" fontId="3" fillId="0" borderId="11" xfId="1" applyFont="1" applyBorder="1" applyAlignment="1" applyProtection="1">
      <alignment horizontal="center"/>
    </xf>
    <xf numFmtId="167" fontId="3" fillId="0" borderId="11" xfId="0" applyNumberFormat="1" applyFont="1" applyBorder="1" applyAlignment="1">
      <alignment horizontal="center"/>
    </xf>
    <xf numFmtId="167" fontId="18" fillId="0" borderId="0" xfId="0" applyNumberFormat="1" applyFont="1" applyBorder="1" applyAlignment="1">
      <alignment horizontal="center"/>
    </xf>
    <xf numFmtId="167" fontId="17" fillId="4" borderId="11" xfId="1" applyFont="1" applyFill="1" applyBorder="1" applyAlignment="1" applyProtection="1">
      <alignment horizontal="center"/>
    </xf>
    <xf numFmtId="167" fontId="17" fillId="0" borderId="0" xfId="1" applyFont="1" applyBorder="1" applyAlignment="1" applyProtection="1">
      <alignment horizontal="center"/>
    </xf>
    <xf numFmtId="165" fontId="18" fillId="0" borderId="11" xfId="0" applyNumberFormat="1" applyFont="1" applyBorder="1"/>
    <xf numFmtId="4" fontId="3" fillId="0" borderId="0" xfId="0" applyNumberFormat="1" applyFont="1" applyBorder="1"/>
    <xf numFmtId="179" fontId="18" fillId="0" borderId="11" xfId="1" applyNumberFormat="1" applyFont="1" applyBorder="1" applyAlignment="1" applyProtection="1">
      <alignment horizontal="right"/>
    </xf>
    <xf numFmtId="180" fontId="18" fillId="0" borderId="0" xfId="0" applyNumberFormat="1" applyFont="1" applyBorder="1"/>
    <xf numFmtId="4" fontId="18" fillId="0" borderId="0" xfId="0" applyNumberFormat="1" applyFont="1" applyBorder="1"/>
    <xf numFmtId="2" fontId="18" fillId="0" borderId="0" xfId="0" applyNumberFormat="1" applyFont="1" applyBorder="1"/>
    <xf numFmtId="0" fontId="18" fillId="0" borderId="0" xfId="0" applyFont="1" applyBorder="1" applyAlignment="1">
      <alignment horizontal="left" vertical="top"/>
    </xf>
    <xf numFmtId="174" fontId="18" fillId="0" borderId="0" xfId="0" applyNumberFormat="1" applyFont="1"/>
    <xf numFmtId="181" fontId="18" fillId="0" borderId="0" xfId="0" applyNumberFormat="1" applyFont="1"/>
    <xf numFmtId="4" fontId="17" fillId="0" borderId="0" xfId="0" applyNumberFormat="1" applyFont="1" applyBorder="1" applyAlignment="1">
      <alignment horizontal="center" vertical="center" wrapText="1"/>
    </xf>
    <xf numFmtId="0" fontId="18" fillId="0" borderId="0" xfId="0" applyFont="1" applyBorder="1" applyAlignment="1">
      <alignment horizontal="right"/>
    </xf>
    <xf numFmtId="166" fontId="18" fillId="0" borderId="0" xfId="0" applyNumberFormat="1" applyFont="1" applyBorder="1" applyAlignment="1">
      <alignment horizontal="right"/>
    </xf>
    <xf numFmtId="3" fontId="18" fillId="0" borderId="0" xfId="0" applyNumberFormat="1" applyFont="1" applyBorder="1" applyAlignment="1">
      <alignment horizontal="right"/>
    </xf>
    <xf numFmtId="176" fontId="18" fillId="0" borderId="11" xfId="1" applyNumberFormat="1" applyFont="1" applyBorder="1" applyAlignment="1" applyProtection="1"/>
    <xf numFmtId="182" fontId="18" fillId="0" borderId="0" xfId="0" applyNumberFormat="1" applyFont="1" applyBorder="1" applyAlignment="1">
      <alignment horizontal="right"/>
    </xf>
    <xf numFmtId="183" fontId="17" fillId="0" borderId="0" xfId="0" applyNumberFormat="1" applyFont="1" applyBorder="1" applyAlignment="1">
      <alignment horizontal="right"/>
    </xf>
    <xf numFmtId="167" fontId="18" fillId="0" borderId="0" xfId="0" applyNumberFormat="1" applyFont="1" applyBorder="1" applyAlignment="1">
      <alignment horizontal="left" vertical="center"/>
    </xf>
    <xf numFmtId="165" fontId="18" fillId="0" borderId="0" xfId="0" applyNumberFormat="1" applyFont="1" applyBorder="1" applyAlignment="1">
      <alignment horizontal="center" vertical="center"/>
    </xf>
    <xf numFmtId="4" fontId="18" fillId="0" borderId="0" xfId="0" applyNumberFormat="1" applyFont="1" applyBorder="1" applyAlignment="1">
      <alignment horizontal="left" vertical="center"/>
    </xf>
    <xf numFmtId="176" fontId="18" fillId="0" borderId="0" xfId="0" applyNumberFormat="1" applyFont="1" applyBorder="1" applyAlignment="1">
      <alignment horizontal="left" vertical="center"/>
    </xf>
    <xf numFmtId="167" fontId="18" fillId="0" borderId="0" xfId="0" applyNumberFormat="1" applyFont="1" applyBorder="1"/>
    <xf numFmtId="184" fontId="18" fillId="0" borderId="11" xfId="1" applyNumberFormat="1" applyFont="1" applyBorder="1" applyAlignment="1" applyProtection="1"/>
    <xf numFmtId="184" fontId="18" fillId="0" borderId="11" xfId="0" applyNumberFormat="1" applyFont="1" applyBorder="1"/>
    <xf numFmtId="184" fontId="17" fillId="0" borderId="11" xfId="0" applyNumberFormat="1" applyFont="1" applyBorder="1"/>
    <xf numFmtId="9" fontId="18" fillId="0" borderId="11" xfId="0" applyNumberFormat="1" applyFont="1" applyBorder="1"/>
    <xf numFmtId="167" fontId="6" fillId="0" borderId="0" xfId="1" applyFont="1" applyBorder="1" applyAlignment="1" applyProtection="1"/>
    <xf numFmtId="166" fontId="18" fillId="0" borderId="11" xfId="0" applyNumberFormat="1" applyFont="1" applyBorder="1" applyAlignment="1">
      <alignment wrapText="1"/>
    </xf>
    <xf numFmtId="166" fontId="17" fillId="3" borderId="11" xfId="0" applyNumberFormat="1" applyFont="1" applyFill="1" applyBorder="1" applyAlignment="1">
      <alignment wrapText="1"/>
    </xf>
    <xf numFmtId="0" fontId="17" fillId="0" borderId="21" xfId="0" applyFont="1" applyBorder="1" applyAlignment="1">
      <alignment horizontal="left"/>
    </xf>
    <xf numFmtId="0" fontId="17" fillId="0" borderId="22" xfId="0" applyFont="1" applyBorder="1" applyAlignment="1">
      <alignment horizontal="left"/>
    </xf>
    <xf numFmtId="4" fontId="17" fillId="0" borderId="16" xfId="0" applyNumberFormat="1" applyFont="1" applyBorder="1" applyAlignment="1">
      <alignment horizontal="center"/>
    </xf>
    <xf numFmtId="0" fontId="18" fillId="0" borderId="11" xfId="0" applyFont="1" applyBorder="1" applyAlignment="1">
      <alignment horizontal="left" wrapText="1"/>
    </xf>
    <xf numFmtId="0" fontId="17" fillId="0" borderId="13" xfId="0" applyFont="1" applyBorder="1" applyAlignment="1"/>
    <xf numFmtId="0" fontId="18" fillId="0" borderId="12" xfId="0" applyFont="1" applyBorder="1" applyAlignment="1"/>
    <xf numFmtId="0" fontId="18" fillId="0" borderId="13" xfId="0" applyFont="1" applyBorder="1" applyAlignment="1"/>
    <xf numFmtId="1" fontId="19" fillId="0" borderId="11" xfId="0" applyNumberFormat="1" applyFont="1" applyBorder="1" applyAlignment="1">
      <alignment horizontal="center"/>
    </xf>
    <xf numFmtId="165" fontId="18" fillId="0" borderId="11" xfId="0" applyNumberFormat="1" applyFont="1" applyBorder="1" applyAlignment="1">
      <alignment horizontal="center"/>
    </xf>
    <xf numFmtId="0" fontId="19" fillId="0" borderId="11" xfId="0" applyFont="1" applyBorder="1" applyAlignment="1">
      <alignment horizontal="center"/>
    </xf>
    <xf numFmtId="165" fontId="17" fillId="0" borderId="11" xfId="0" applyNumberFormat="1" applyFont="1" applyBorder="1" applyAlignment="1">
      <alignment horizontal="center"/>
    </xf>
    <xf numFmtId="0" fontId="17" fillId="0" borderId="0" xfId="0" applyFont="1" applyBorder="1" applyAlignment="1">
      <alignment horizontal="right"/>
    </xf>
    <xf numFmtId="165" fontId="17" fillId="0" borderId="0" xfId="0" applyNumberFormat="1" applyFont="1" applyBorder="1" applyAlignment="1">
      <alignment horizontal="center"/>
    </xf>
    <xf numFmtId="0" fontId="17" fillId="0" borderId="13" xfId="0" applyFont="1" applyBorder="1" applyAlignment="1">
      <alignment horizontal="center"/>
    </xf>
    <xf numFmtId="165" fontId="17" fillId="0" borderId="11" xfId="0" applyNumberFormat="1" applyFont="1" applyBorder="1" applyAlignment="1">
      <alignment horizontal="center" wrapText="1"/>
    </xf>
    <xf numFmtId="165" fontId="18" fillId="0" borderId="11" xfId="0" applyNumberFormat="1" applyFont="1" applyBorder="1" applyAlignment="1">
      <alignment horizontal="center"/>
    </xf>
    <xf numFmtId="0" fontId="23" fillId="0" borderId="0" xfId="0" applyFont="1" applyBorder="1" applyAlignment="1">
      <alignment vertical="top"/>
    </xf>
    <xf numFmtId="166" fontId="19" fillId="0" borderId="0" xfId="0" applyNumberFormat="1" applyFont="1" applyBorder="1" applyAlignment="1">
      <alignment vertical="top" wrapText="1"/>
    </xf>
    <xf numFmtId="167" fontId="32" fillId="0" borderId="0" xfId="0" applyNumberFormat="1" applyFont="1" applyBorder="1"/>
    <xf numFmtId="174" fontId="33" fillId="0" borderId="0" xfId="0" applyNumberFormat="1" applyFont="1" applyBorder="1" applyAlignment="1">
      <alignment horizontal="right" vertical="top"/>
    </xf>
    <xf numFmtId="3" fontId="17" fillId="0" borderId="11" xfId="0" applyNumberFormat="1" applyFont="1" applyBorder="1" applyAlignment="1">
      <alignment horizontal="center"/>
    </xf>
    <xf numFmtId="0" fontId="18" fillId="0" borderId="0" xfId="0" applyFont="1" applyBorder="1" applyAlignment="1">
      <alignment horizontal="left" wrapText="1"/>
    </xf>
    <xf numFmtId="0" fontId="17" fillId="0" borderId="0" xfId="0" applyFont="1" applyBorder="1" applyAlignment="1">
      <alignment horizontal="left" vertical="top"/>
    </xf>
    <xf numFmtId="0" fontId="18" fillId="0" borderId="0" xfId="0" applyFont="1" applyBorder="1" applyAlignment="1">
      <alignment horizontal="left" vertical="top"/>
    </xf>
    <xf numFmtId="167" fontId="18" fillId="0" borderId="0" xfId="0" applyNumberFormat="1" applyFont="1" applyBorder="1" applyAlignment="1">
      <alignment horizontal="center" vertical="center" wrapText="1"/>
    </xf>
    <xf numFmtId="174" fontId="18" fillId="0" borderId="0" xfId="0" applyNumberFormat="1" applyFont="1" applyBorder="1" applyAlignment="1">
      <alignment horizontal="center" vertical="center" wrapText="1"/>
    </xf>
    <xf numFmtId="0" fontId="18" fillId="0" borderId="0" xfId="0" applyFont="1" applyBorder="1" applyAlignment="1">
      <alignment horizontal="left" vertical="top" wrapText="1"/>
    </xf>
    <xf numFmtId="0" fontId="34" fillId="0" borderId="0" xfId="0" applyFont="1" applyBorder="1"/>
    <xf numFmtId="167" fontId="35" fillId="0" borderId="0" xfId="0" applyNumberFormat="1" applyFont="1" applyBorder="1"/>
    <xf numFmtId="174" fontId="32" fillId="0" borderId="0" xfId="0" applyNumberFormat="1" applyFont="1" applyBorder="1"/>
    <xf numFmtId="0" fontId="0" fillId="0" borderId="0" xfId="0" applyBorder="1"/>
    <xf numFmtId="0" fontId="18" fillId="0" borderId="0" xfId="0" applyFont="1" applyBorder="1" applyAlignment="1">
      <alignment vertical="top"/>
    </xf>
    <xf numFmtId="0" fontId="18" fillId="0" borderId="0" xfId="0" applyFont="1" applyBorder="1" applyAlignment="1">
      <alignment horizontal="center" vertical="top"/>
    </xf>
    <xf numFmtId="165" fontId="18" fillId="0" borderId="0" xfId="0" applyNumberFormat="1" applyFont="1" applyBorder="1" applyAlignment="1">
      <alignment horizontal="center" vertical="top"/>
    </xf>
    <xf numFmtId="174" fontId="18" fillId="0" borderId="0" xfId="0" applyNumberFormat="1" applyFont="1" applyBorder="1"/>
    <xf numFmtId="167" fontId="18" fillId="0" borderId="0" xfId="0" applyNumberFormat="1" applyFont="1" applyBorder="1"/>
    <xf numFmtId="0" fontId="17" fillId="3" borderId="11" xfId="0" applyFont="1" applyFill="1" applyBorder="1" applyAlignment="1">
      <alignment horizontal="center" wrapText="1"/>
    </xf>
    <xf numFmtId="167" fontId="17" fillId="3" borderId="11" xfId="0" applyNumberFormat="1" applyFont="1" applyFill="1" applyBorder="1" applyAlignment="1">
      <alignment horizontal="center" wrapText="1"/>
    </xf>
    <xf numFmtId="167" fontId="17" fillId="0" borderId="11" xfId="0" applyNumberFormat="1" applyFont="1" applyBorder="1"/>
    <xf numFmtId="0" fontId="18" fillId="0" borderId="11" xfId="0" applyFont="1" applyBorder="1" applyAlignment="1"/>
    <xf numFmtId="2" fontId="18" fillId="0" borderId="11" xfId="0" applyNumberFormat="1" applyFont="1" applyBorder="1"/>
    <xf numFmtId="171" fontId="18" fillId="0" borderId="11" xfId="0" applyNumberFormat="1" applyFont="1" applyBorder="1" applyAlignment="1"/>
    <xf numFmtId="0" fontId="9" fillId="0" borderId="0" xfId="0" applyFont="1" applyAlignment="1">
      <alignment horizontal="left"/>
    </xf>
    <xf numFmtId="10" fontId="9" fillId="0" borderId="0" xfId="0" applyNumberFormat="1" applyFont="1"/>
    <xf numFmtId="185" fontId="3" fillId="0" borderId="11" xfId="0" applyNumberFormat="1" applyFont="1" applyBorder="1"/>
    <xf numFmtId="0" fontId="18" fillId="0" borderId="11" xfId="0" applyFont="1" applyBorder="1" applyAlignment="1">
      <alignment horizontal="center" wrapText="1"/>
    </xf>
    <xf numFmtId="165" fontId="18" fillId="0" borderId="11" xfId="0" applyNumberFormat="1" applyFont="1" applyBorder="1" applyAlignment="1">
      <alignment horizontal="center" wrapText="1"/>
    </xf>
    <xf numFmtId="4" fontId="18" fillId="0" borderId="11" xfId="0" applyNumberFormat="1" applyFont="1" applyBorder="1" applyAlignment="1">
      <alignment horizontal="center"/>
    </xf>
    <xf numFmtId="0" fontId="18" fillId="0" borderId="11" xfId="0" applyFont="1" applyBorder="1" applyAlignment="1">
      <alignment horizontal="center"/>
    </xf>
    <xf numFmtId="167" fontId="17" fillId="0" borderId="0" xfId="0" applyNumberFormat="1" applyFont="1" applyBorder="1" applyAlignment="1">
      <alignment horizontal="center"/>
    </xf>
    <xf numFmtId="2" fontId="17" fillId="0" borderId="11" xfId="0" applyNumberFormat="1" applyFont="1" applyBorder="1" applyAlignment="1">
      <alignment horizontal="center"/>
    </xf>
    <xf numFmtId="0" fontId="17" fillId="0" borderId="0" xfId="0" applyFont="1" applyBorder="1"/>
    <xf numFmtId="0" fontId="36" fillId="0" borderId="0" xfId="0" applyFont="1" applyBorder="1" applyAlignment="1"/>
    <xf numFmtId="0" fontId="19" fillId="0" borderId="0" xfId="0" applyFont="1" applyBorder="1" applyAlignment="1"/>
    <xf numFmtId="0" fontId="19" fillId="0" borderId="0" xfId="0" applyFont="1" applyBorder="1" applyAlignment="1">
      <alignment horizontal="left"/>
    </xf>
    <xf numFmtId="0" fontId="18" fillId="0" borderId="0" xfId="0" applyFont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167" fontId="17" fillId="0" borderId="0" xfId="1" applyFont="1" applyBorder="1" applyAlignment="1" applyProtection="1">
      <alignment horizontal="center" wrapText="1"/>
    </xf>
    <xf numFmtId="167" fontId="18" fillId="0" borderId="0" xfId="0" applyNumberFormat="1" applyFont="1" applyBorder="1" applyAlignment="1">
      <alignment horizontal="left" wrapText="1"/>
    </xf>
    <xf numFmtId="0" fontId="0" fillId="0" borderId="0" xfId="0" applyBorder="1" applyAlignment="1"/>
    <xf numFmtId="167" fontId="18" fillId="0" borderId="0" xfId="1" applyFont="1" applyBorder="1" applyAlignment="1" applyProtection="1">
      <alignment horizontal="center" wrapText="1"/>
    </xf>
    <xf numFmtId="167" fontId="17" fillId="0" borderId="0" xfId="0" applyNumberFormat="1" applyFont="1" applyBorder="1" applyAlignment="1">
      <alignment horizontal="center" wrapText="1"/>
    </xf>
    <xf numFmtId="0" fontId="23" fillId="0" borderId="0" xfId="0" applyFont="1" applyBorder="1" applyAlignment="1"/>
    <xf numFmtId="0" fontId="19" fillId="0" borderId="0" xfId="0" applyFont="1" applyAlignment="1"/>
    <xf numFmtId="0" fontId="0" fillId="0" borderId="0" xfId="0" applyFont="1" applyAlignment="1"/>
    <xf numFmtId="0" fontId="23" fillId="0" borderId="0" xfId="0" applyFont="1" applyBorder="1" applyAlignment="1">
      <alignment horizontal="center"/>
    </xf>
    <xf numFmtId="0" fontId="19" fillId="0" borderId="0" xfId="0" applyFont="1" applyBorder="1" applyAlignment="1"/>
    <xf numFmtId="0" fontId="19" fillId="0" borderId="0" xfId="0" applyFont="1" applyAlignment="1"/>
    <xf numFmtId="0" fontId="19" fillId="0" borderId="0" xfId="0" applyFont="1" applyBorder="1" applyAlignment="1">
      <alignment horizontal="center"/>
    </xf>
    <xf numFmtId="0" fontId="19" fillId="0" borderId="0" xfId="0" applyFont="1" applyBorder="1" applyAlignment="1">
      <alignment horizontal="left" wrapText="1"/>
    </xf>
    <xf numFmtId="3" fontId="19" fillId="0" borderId="0" xfId="0" applyNumberFormat="1" applyFont="1" applyBorder="1" applyAlignment="1">
      <alignment horizontal="center"/>
    </xf>
    <xf numFmtId="0" fontId="37" fillId="0" borderId="0" xfId="0" applyFont="1" applyBorder="1" applyAlignment="1"/>
    <xf numFmtId="0" fontId="38" fillId="0" borderId="0" xfId="0" applyFont="1" applyBorder="1" applyAlignment="1"/>
    <xf numFmtId="3" fontId="39" fillId="0" borderId="0" xfId="0" applyNumberFormat="1" applyFont="1" applyBorder="1" applyAlignment="1">
      <alignment horizontal="center"/>
    </xf>
    <xf numFmtId="0" fontId="39" fillId="0" borderId="0" xfId="0" applyFont="1" applyBorder="1" applyAlignment="1"/>
    <xf numFmtId="167" fontId="19" fillId="0" borderId="0" xfId="1" applyFont="1" applyBorder="1" applyAlignment="1" applyProtection="1"/>
    <xf numFmtId="3" fontId="19" fillId="0" borderId="0" xfId="0" applyNumberFormat="1" applyFont="1" applyBorder="1" applyAlignment="1">
      <alignment horizontal="left"/>
    </xf>
    <xf numFmtId="167" fontId="7" fillId="0" borderId="0" xfId="1" applyFont="1" applyBorder="1" applyAlignment="1" applyProtection="1">
      <alignment horizontal="right"/>
    </xf>
    <xf numFmtId="0" fontId="19" fillId="0" borderId="0" xfId="0" applyFont="1" applyBorder="1" applyAlignment="1">
      <alignment horizontal="right"/>
    </xf>
    <xf numFmtId="4" fontId="23" fillId="0" borderId="0" xfId="0" applyNumberFormat="1" applyFont="1" applyBorder="1"/>
    <xf numFmtId="4" fontId="19" fillId="0" borderId="0" xfId="0" applyNumberFormat="1" applyFont="1" applyBorder="1"/>
    <xf numFmtId="0" fontId="23" fillId="0" borderId="0" xfId="0" applyFont="1" applyBorder="1"/>
    <xf numFmtId="167" fontId="23" fillId="0" borderId="0" xfId="1" applyFont="1" applyBorder="1" applyAlignment="1" applyProtection="1"/>
    <xf numFmtId="167" fontId="22" fillId="0" borderId="0" xfId="1" applyFont="1" applyBorder="1" applyAlignment="1" applyProtection="1"/>
    <xf numFmtId="186" fontId="19" fillId="0" borderId="0" xfId="0" applyNumberFormat="1" applyFont="1" applyBorder="1"/>
    <xf numFmtId="167" fontId="19" fillId="0" borderId="0" xfId="1" applyFont="1" applyBorder="1" applyAlignment="1" applyProtection="1">
      <alignment horizontal="right"/>
    </xf>
    <xf numFmtId="0" fontId="19" fillId="0" borderId="0" xfId="0" applyFont="1" applyBorder="1" applyAlignment="1">
      <alignment wrapText="1" shrinkToFit="1"/>
    </xf>
    <xf numFmtId="9" fontId="19" fillId="0" borderId="0" xfId="0" applyNumberFormat="1" applyFont="1" applyBorder="1" applyAlignment="1">
      <alignment horizontal="right"/>
    </xf>
    <xf numFmtId="167" fontId="23" fillId="0" borderId="0" xfId="1" applyFont="1" applyBorder="1" applyAlignment="1" applyProtection="1">
      <alignment horizontal="right"/>
    </xf>
    <xf numFmtId="168" fontId="19" fillId="0" borderId="0" xfId="0" applyNumberFormat="1" applyFont="1" applyBorder="1"/>
    <xf numFmtId="0" fontId="23" fillId="0" borderId="0" xfId="0" applyFont="1" applyBorder="1" applyAlignment="1">
      <alignment horizontal="left"/>
    </xf>
    <xf numFmtId="167" fontId="37" fillId="0" borderId="0" xfId="1" applyFont="1" applyBorder="1" applyAlignment="1" applyProtection="1">
      <alignment horizontal="right"/>
    </xf>
    <xf numFmtId="0" fontId="17" fillId="0" borderId="0" xfId="0" applyFont="1" applyBorder="1" applyAlignment="1">
      <alignment horizontal="center" vertical="center" shrinkToFit="1"/>
    </xf>
    <xf numFmtId="0" fontId="17" fillId="0" borderId="0" xfId="0" applyFont="1" applyBorder="1" applyAlignment="1">
      <alignment horizontal="center" vertical="center" wrapText="1"/>
    </xf>
    <xf numFmtId="4" fontId="19" fillId="0" borderId="0" xfId="0" applyNumberFormat="1" applyFont="1" applyBorder="1" applyAlignment="1">
      <alignment horizontal="center"/>
    </xf>
    <xf numFmtId="2" fontId="23" fillId="0" borderId="0" xfId="0" applyNumberFormat="1" applyFont="1" applyBorder="1" applyAlignment="1"/>
    <xf numFmtId="2" fontId="22" fillId="0" borderId="0" xfId="0" applyNumberFormat="1" applyFont="1" applyBorder="1" applyAlignment="1"/>
    <xf numFmtId="0" fontId="22" fillId="0" borderId="0" xfId="0" applyFont="1" applyBorder="1" applyAlignment="1"/>
    <xf numFmtId="3" fontId="19" fillId="0" borderId="0" xfId="0" applyNumberFormat="1" applyFont="1" applyBorder="1"/>
    <xf numFmtId="176" fontId="19" fillId="0" borderId="0" xfId="1" applyNumberFormat="1" applyFont="1" applyBorder="1" applyAlignment="1" applyProtection="1"/>
    <xf numFmtId="177" fontId="19" fillId="0" borderId="0" xfId="1" applyNumberFormat="1" applyFont="1" applyBorder="1" applyAlignment="1" applyProtection="1"/>
    <xf numFmtId="176" fontId="19" fillId="0" borderId="0" xfId="0" applyNumberFormat="1" applyFont="1" applyBorder="1"/>
    <xf numFmtId="167" fontId="23" fillId="0" borderId="0" xfId="0" applyNumberFormat="1" applyFont="1" applyBorder="1"/>
    <xf numFmtId="4" fontId="19" fillId="0" borderId="0" xfId="0" applyNumberFormat="1" applyFont="1" applyBorder="1" applyAlignment="1">
      <alignment horizontal="right"/>
    </xf>
    <xf numFmtId="167" fontId="23" fillId="0" borderId="0" xfId="0" applyNumberFormat="1" applyFont="1" applyBorder="1" applyAlignment="1"/>
    <xf numFmtId="167" fontId="19" fillId="0" borderId="0" xfId="0" applyNumberFormat="1" applyFont="1" applyBorder="1"/>
    <xf numFmtId="173" fontId="19" fillId="0" borderId="0" xfId="0" applyNumberFormat="1" applyFont="1" applyBorder="1"/>
    <xf numFmtId="0" fontId="29" fillId="0" borderId="0" xfId="0" applyFont="1" applyBorder="1"/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vertical="center"/>
    </xf>
    <xf numFmtId="167" fontId="7" fillId="0" borderId="0" xfId="1" applyFont="1" applyBorder="1" applyAlignment="1" applyProtection="1"/>
    <xf numFmtId="167" fontId="16" fillId="0" borderId="0" xfId="1" applyFont="1" applyBorder="1" applyAlignment="1" applyProtection="1"/>
    <xf numFmtId="4" fontId="19" fillId="0" borderId="0" xfId="0" applyNumberFormat="1" applyFont="1" applyBorder="1" applyAlignment="1">
      <alignment wrapText="1"/>
    </xf>
    <xf numFmtId="167" fontId="19" fillId="0" borderId="0" xfId="0" applyNumberFormat="1" applyFont="1" applyBorder="1" applyAlignment="1">
      <alignment wrapText="1"/>
    </xf>
    <xf numFmtId="167" fontId="19" fillId="0" borderId="0" xfId="0" applyNumberFormat="1" applyFont="1" applyBorder="1" applyAlignment="1"/>
    <xf numFmtId="167" fontId="23" fillId="0" borderId="0" xfId="0" applyNumberFormat="1" applyFont="1" applyBorder="1" applyAlignment="1">
      <alignment wrapText="1"/>
    </xf>
    <xf numFmtId="166" fontId="23" fillId="0" borderId="0" xfId="0" applyNumberFormat="1" applyFont="1" applyBorder="1" applyAlignment="1">
      <alignment wrapText="1"/>
    </xf>
    <xf numFmtId="2" fontId="19" fillId="0" borderId="0" xfId="0" applyNumberFormat="1" applyFont="1" applyBorder="1"/>
    <xf numFmtId="0" fontId="40" fillId="0" borderId="0" xfId="0" applyFont="1" applyBorder="1" applyAlignment="1">
      <alignment vertical="top"/>
    </xf>
    <xf numFmtId="0" fontId="40" fillId="0" borderId="0" xfId="0" applyFont="1" applyBorder="1" applyAlignment="1">
      <alignment vertical="top" wrapText="1"/>
    </xf>
    <xf numFmtId="0" fontId="17" fillId="0" borderId="0" xfId="0" applyFont="1" applyBorder="1" applyAlignment="1">
      <alignment vertical="top" wrapText="1"/>
    </xf>
    <xf numFmtId="167" fontId="18" fillId="0" borderId="0" xfId="0" applyNumberFormat="1" applyFont="1" applyBorder="1" applyAlignment="1">
      <alignment vertical="top"/>
    </xf>
    <xf numFmtId="174" fontId="18" fillId="0" borderId="0" xfId="0" applyNumberFormat="1" applyFont="1" applyBorder="1" applyAlignment="1">
      <alignment vertical="top"/>
    </xf>
    <xf numFmtId="0" fontId="17" fillId="0" borderId="0" xfId="0" applyFont="1" applyBorder="1" applyAlignment="1">
      <alignment vertical="top"/>
    </xf>
    <xf numFmtId="167" fontId="17" fillId="0" borderId="0" xfId="0" applyNumberFormat="1" applyFont="1" applyBorder="1" applyAlignment="1">
      <alignment vertical="top"/>
    </xf>
    <xf numFmtId="174" fontId="17" fillId="0" borderId="0" xfId="0" applyNumberFormat="1" applyFont="1" applyBorder="1" applyAlignment="1">
      <alignment vertical="top"/>
    </xf>
    <xf numFmtId="0" fontId="41" fillId="0" borderId="0" xfId="0" applyFont="1" applyBorder="1" applyAlignment="1">
      <alignment vertical="center"/>
    </xf>
    <xf numFmtId="0" fontId="18" fillId="0" borderId="0" xfId="0" applyFont="1" applyBorder="1" applyAlignment="1">
      <alignment vertical="center"/>
    </xf>
    <xf numFmtId="166" fontId="17" fillId="0" borderId="0" xfId="0" applyNumberFormat="1" applyFont="1" applyBorder="1" applyAlignment="1">
      <alignment horizontal="center"/>
    </xf>
    <xf numFmtId="166" fontId="17" fillId="0" borderId="0" xfId="0" applyNumberFormat="1" applyFont="1" applyBorder="1" applyAlignment="1">
      <alignment horizontal="center" wrapText="1"/>
    </xf>
    <xf numFmtId="166" fontId="17" fillId="0" borderId="11" xfId="0" applyNumberFormat="1" applyFont="1" applyBorder="1" applyAlignment="1"/>
    <xf numFmtId="0" fontId="17" fillId="0" borderId="23" xfId="0" applyFont="1" applyBorder="1" applyAlignment="1"/>
    <xf numFmtId="165" fontId="17" fillId="3" borderId="11" xfId="0" applyNumberFormat="1" applyFont="1" applyFill="1" applyBorder="1" applyAlignment="1"/>
    <xf numFmtId="166" fontId="17" fillId="3" borderId="16" xfId="0" applyNumberFormat="1" applyFont="1" applyFill="1" applyBorder="1" applyAlignment="1"/>
    <xf numFmtId="0" fontId="18" fillId="0" borderId="0" xfId="0" applyFont="1" applyAlignment="1">
      <alignment wrapText="1"/>
    </xf>
    <xf numFmtId="2" fontId="17" fillId="0" borderId="11" xfId="0" applyNumberFormat="1" applyFont="1" applyBorder="1" applyAlignment="1">
      <alignment horizontal="center"/>
    </xf>
    <xf numFmtId="171" fontId="18" fillId="0" borderId="0" xfId="0" applyNumberFormat="1" applyFont="1" applyBorder="1"/>
    <xf numFmtId="0" fontId="6" fillId="3" borderId="11" xfId="0" applyFont="1" applyFill="1" applyBorder="1" applyAlignment="1">
      <alignment horizontal="center" vertical="center"/>
    </xf>
    <xf numFmtId="0" fontId="42" fillId="0" borderId="0" xfId="0" applyFont="1" applyBorder="1" applyAlignment="1">
      <alignment horizontal="justify" vertical="top" wrapText="1"/>
    </xf>
    <xf numFmtId="0" fontId="43" fillId="0" borderId="0" xfId="0" applyFont="1" applyBorder="1" applyAlignment="1">
      <alignment vertical="top" wrapText="1"/>
    </xf>
    <xf numFmtId="0" fontId="44" fillId="0" borderId="0" xfId="0" applyFont="1" applyBorder="1" applyAlignment="1">
      <alignment horizontal="center" vertical="top" wrapText="1"/>
    </xf>
    <xf numFmtId="0" fontId="17" fillId="0" borderId="11" xfId="0" applyFont="1" applyBorder="1" applyAlignment="1">
      <alignment horizontal="center"/>
    </xf>
    <xf numFmtId="171" fontId="17" fillId="0" borderId="0" xfId="0" applyNumberFormat="1" applyFont="1" applyBorder="1" applyAlignment="1">
      <alignment horizontal="center"/>
    </xf>
    <xf numFmtId="172" fontId="17" fillId="3" borderId="11" xfId="0" applyNumberFormat="1" applyFont="1" applyFill="1" applyBorder="1" applyAlignment="1">
      <alignment horizontal="center" wrapText="1"/>
    </xf>
    <xf numFmtId="0" fontId="17" fillId="0" borderId="0" xfId="0" applyFont="1" applyBorder="1" applyAlignment="1">
      <alignment horizontal="right"/>
    </xf>
    <xf numFmtId="172" fontId="17" fillId="0" borderId="0" xfId="0" applyNumberFormat="1" applyFont="1" applyBorder="1" applyAlignment="1">
      <alignment horizontal="center" wrapText="1"/>
    </xf>
    <xf numFmtId="0" fontId="45" fillId="0" borderId="0" xfId="0" applyFont="1"/>
    <xf numFmtId="172" fontId="17" fillId="0" borderId="0" xfId="0" applyNumberFormat="1" applyFont="1" applyBorder="1" applyAlignment="1">
      <alignment horizontal="right" wrapText="1"/>
    </xf>
    <xf numFmtId="1" fontId="18" fillId="0" borderId="11" xfId="0" applyNumberFormat="1" applyFont="1" applyBorder="1" applyAlignment="1">
      <alignment horizontal="right"/>
    </xf>
    <xf numFmtId="172" fontId="18" fillId="0" borderId="0" xfId="0" applyNumberFormat="1" applyFont="1" applyBorder="1" applyAlignment="1">
      <alignment horizontal="right" wrapText="1"/>
    </xf>
    <xf numFmtId="0" fontId="45" fillId="0" borderId="11" xfId="0" applyFont="1" applyBorder="1" applyAlignment="1">
      <alignment horizontal="center"/>
    </xf>
    <xf numFmtId="171" fontId="18" fillId="0" borderId="11" xfId="0" applyNumberFormat="1" applyFont="1" applyBorder="1" applyAlignment="1">
      <alignment horizontal="center"/>
    </xf>
    <xf numFmtId="1" fontId="18" fillId="0" borderId="11" xfId="0" applyNumberFormat="1" applyFont="1" applyBorder="1" applyAlignment="1">
      <alignment horizontal="center"/>
    </xf>
    <xf numFmtId="0" fontId="21" fillId="5" borderId="11" xfId="0" applyFont="1" applyFill="1" applyBorder="1" applyAlignment="1">
      <alignment horizontal="center"/>
    </xf>
    <xf numFmtId="0" fontId="21" fillId="3" borderId="11" xfId="0" applyFont="1" applyFill="1" applyBorder="1" applyAlignment="1">
      <alignment horizontal="center"/>
    </xf>
    <xf numFmtId="0" fontId="28" fillId="0" borderId="0" xfId="0" applyFont="1" applyBorder="1" applyAlignment="1"/>
    <xf numFmtId="165" fontId="18" fillId="0" borderId="0" xfId="0" applyNumberFormat="1" applyFont="1"/>
    <xf numFmtId="10" fontId="18" fillId="0" borderId="11" xfId="0" applyNumberFormat="1" applyFont="1" applyBorder="1" applyAlignment="1">
      <alignment horizontal="right"/>
    </xf>
    <xf numFmtId="166" fontId="17" fillId="0" borderId="11" xfId="0" applyNumberFormat="1" applyFont="1" applyBorder="1" applyAlignment="1">
      <alignment wrapText="1"/>
    </xf>
    <xf numFmtId="0" fontId="17" fillId="0" borderId="0" xfId="0" applyFont="1" applyBorder="1" applyAlignment="1">
      <alignment vertical="center"/>
    </xf>
    <xf numFmtId="166" fontId="17" fillId="0" borderId="0" xfId="0" applyNumberFormat="1" applyFont="1" applyBorder="1" applyAlignment="1">
      <alignment wrapText="1"/>
    </xf>
    <xf numFmtId="165" fontId="17" fillId="0" borderId="0" xfId="0" applyNumberFormat="1" applyFont="1" applyBorder="1" applyAlignment="1">
      <alignment horizontal="center" wrapText="1"/>
    </xf>
    <xf numFmtId="165" fontId="17" fillId="0" borderId="11" xfId="0" applyNumberFormat="1" applyFont="1" applyBorder="1" applyAlignment="1">
      <alignment horizontal="center"/>
    </xf>
    <xf numFmtId="0" fontId="21" fillId="0" borderId="11" xfId="0" applyFont="1" applyBorder="1" applyAlignment="1">
      <alignment horizontal="left"/>
    </xf>
    <xf numFmtId="165" fontId="17" fillId="0" borderId="13" xfId="0" applyNumberFormat="1" applyFont="1" applyBorder="1" applyAlignment="1">
      <alignment horizontal="center"/>
    </xf>
    <xf numFmtId="165" fontId="17" fillId="3" borderId="11" xfId="0" applyNumberFormat="1" applyFont="1" applyFill="1" applyBorder="1" applyAlignment="1">
      <alignment horizontal="center"/>
    </xf>
    <xf numFmtId="165" fontId="17" fillId="8" borderId="13" xfId="0" applyNumberFormat="1" applyFont="1" applyFill="1" applyBorder="1" applyAlignment="1">
      <alignment horizontal="center"/>
    </xf>
    <xf numFmtId="0" fontId="0" fillId="0" borderId="0" xfId="0" applyFont="1"/>
    <xf numFmtId="0" fontId="45" fillId="0" borderId="11" xfId="0" applyFont="1" applyBorder="1" applyAlignment="1">
      <alignment horizontal="center"/>
    </xf>
    <xf numFmtId="186" fontId="18" fillId="0" borderId="11" xfId="0" applyNumberFormat="1" applyFont="1" applyBorder="1" applyAlignment="1">
      <alignment horizontal="center"/>
    </xf>
    <xf numFmtId="165" fontId="0" fillId="0" borderId="0" xfId="0" applyNumberFormat="1"/>
    <xf numFmtId="4" fontId="18" fillId="0" borderId="11" xfId="0" applyNumberFormat="1" applyFont="1" applyBorder="1" applyAlignment="1">
      <alignment horizontal="center" wrapText="1"/>
    </xf>
    <xf numFmtId="0" fontId="18" fillId="3" borderId="11" xfId="0" applyFont="1" applyFill="1" applyBorder="1"/>
    <xf numFmtId="2" fontId="17" fillId="0" borderId="0" xfId="0" applyNumberFormat="1" applyFont="1" applyBorder="1" applyAlignment="1">
      <alignment horizontal="left" wrapText="1"/>
    </xf>
    <xf numFmtId="2" fontId="17" fillId="0" borderId="11" xfId="0" applyNumberFormat="1" applyFont="1" applyBorder="1" applyAlignment="1">
      <alignment horizontal="left" wrapText="1"/>
    </xf>
    <xf numFmtId="2" fontId="17" fillId="0" borderId="11" xfId="0" applyNumberFormat="1" applyFont="1" applyBorder="1" applyAlignment="1">
      <alignment horizontal="center" wrapText="1"/>
    </xf>
    <xf numFmtId="2" fontId="18" fillId="0" borderId="11" xfId="0" applyNumberFormat="1" applyFont="1" applyBorder="1" applyAlignment="1">
      <alignment horizontal="left" wrapText="1"/>
    </xf>
    <xf numFmtId="2" fontId="18" fillId="0" borderId="11" xfId="0" applyNumberFormat="1" applyFont="1" applyBorder="1" applyAlignment="1">
      <alignment horizontal="center" wrapText="1"/>
    </xf>
    <xf numFmtId="187" fontId="22" fillId="0" borderId="0" xfId="0" applyNumberFormat="1" applyFont="1"/>
    <xf numFmtId="1" fontId="18" fillId="0" borderId="11" xfId="0" applyNumberFormat="1" applyFont="1" applyBorder="1" applyAlignment="1">
      <alignment horizontal="center" wrapText="1"/>
    </xf>
    <xf numFmtId="0" fontId="18" fillId="0" borderId="19" xfId="0" applyFont="1" applyBorder="1" applyAlignment="1">
      <alignment horizontal="center"/>
    </xf>
    <xf numFmtId="165" fontId="17" fillId="0" borderId="19" xfId="0" applyNumberFormat="1" applyFont="1" applyBorder="1" applyAlignment="1">
      <alignment horizontal="center"/>
    </xf>
    <xf numFmtId="0" fontId="18" fillId="5" borderId="11" xfId="0" applyFont="1" applyFill="1" applyBorder="1"/>
    <xf numFmtId="165" fontId="17" fillId="5" borderId="11" xfId="0" applyNumberFormat="1" applyFont="1" applyFill="1" applyBorder="1" applyAlignment="1">
      <alignment horizontal="center"/>
    </xf>
    <xf numFmtId="165" fontId="17" fillId="0" borderId="13" xfId="0" applyNumberFormat="1" applyFont="1" applyBorder="1" applyAlignment="1"/>
    <xf numFmtId="165" fontId="17" fillId="5" borderId="13" xfId="0" applyNumberFormat="1" applyFont="1" applyFill="1" applyBorder="1" applyAlignment="1"/>
    <xf numFmtId="0" fontId="17" fillId="0" borderId="12" xfId="0" applyFont="1" applyBorder="1" applyAlignment="1">
      <alignment horizontal="left"/>
    </xf>
    <xf numFmtId="0" fontId="17" fillId="0" borderId="23" xfId="0" applyFont="1" applyBorder="1" applyAlignment="1">
      <alignment horizontal="left"/>
    </xf>
    <xf numFmtId="0" fontId="17" fillId="0" borderId="13" xfId="0" applyFont="1" applyBorder="1" applyAlignment="1">
      <alignment horizontal="left"/>
    </xf>
    <xf numFmtId="165" fontId="17" fillId="5" borderId="11" xfId="0" applyNumberFormat="1" applyFont="1" applyFill="1" applyBorder="1" applyAlignment="1"/>
    <xf numFmtId="0" fontId="17" fillId="2" borderId="0" xfId="0" applyFont="1" applyFill="1" applyAlignment="1">
      <alignment vertical="top"/>
    </xf>
    <xf numFmtId="0" fontId="17" fillId="0" borderId="0" xfId="0" applyFont="1" applyAlignment="1">
      <alignment vertical="top"/>
    </xf>
    <xf numFmtId="0" fontId="17" fillId="0" borderId="0" xfId="0" applyFont="1" applyAlignment="1">
      <alignment vertical="top" wrapText="1"/>
    </xf>
    <xf numFmtId="170" fontId="16" fillId="0" borderId="0" xfId="3"/>
    <xf numFmtId="2" fontId="17" fillId="0" borderId="11" xfId="0" applyNumberFormat="1" applyFont="1" applyBorder="1" applyAlignment="1">
      <alignment horizontal="center" wrapText="1"/>
    </xf>
    <xf numFmtId="0" fontId="0" fillId="0" borderId="0" xfId="0" applyFill="1"/>
    <xf numFmtId="0" fontId="18" fillId="0" borderId="11" xfId="0" applyFont="1" applyBorder="1"/>
    <xf numFmtId="0" fontId="18" fillId="0" borderId="0" xfId="0" applyFont="1" applyBorder="1" applyAlignment="1">
      <alignment wrapText="1"/>
    </xf>
    <xf numFmtId="0" fontId="18" fillId="0" borderId="0" xfId="0" applyFont="1" applyBorder="1" applyAlignment="1">
      <alignment horizontal="left"/>
    </xf>
    <xf numFmtId="4" fontId="18" fillId="0" borderId="11" xfId="0" applyNumberFormat="1" applyFont="1" applyFill="1" applyBorder="1"/>
    <xf numFmtId="0" fontId="18" fillId="0" borderId="0" xfId="0" applyFont="1" applyFill="1"/>
    <xf numFmtId="0" fontId="17" fillId="9" borderId="11" xfId="0" applyFont="1" applyFill="1" applyBorder="1"/>
    <xf numFmtId="0" fontId="17" fillId="9" borderId="11" xfId="0" applyFont="1" applyFill="1" applyBorder="1" applyAlignment="1">
      <alignment horizontal="center"/>
    </xf>
    <xf numFmtId="4" fontId="18" fillId="0" borderId="11" xfId="0" applyNumberFormat="1" applyFont="1" applyFill="1" applyBorder="1" applyAlignment="1">
      <alignment horizontal="center"/>
    </xf>
    <xf numFmtId="4" fontId="46" fillId="0" borderId="11" xfId="0" applyNumberFormat="1" applyFont="1" applyFill="1" applyBorder="1" applyAlignment="1">
      <alignment horizontal="center"/>
    </xf>
    <xf numFmtId="4" fontId="47" fillId="0" borderId="11" xfId="0" applyNumberFormat="1" applyFont="1" applyFill="1" applyBorder="1" applyAlignment="1">
      <alignment horizontal="center"/>
    </xf>
    <xf numFmtId="171" fontId="18" fillId="0" borderId="0" xfId="0" applyNumberFormat="1" applyFont="1" applyFill="1"/>
    <xf numFmtId="0" fontId="18" fillId="0" borderId="0" xfId="0" applyFont="1" applyFill="1" applyAlignment="1">
      <alignment horizontal="right"/>
    </xf>
    <xf numFmtId="4" fontId="18" fillId="0" borderId="11" xfId="0" applyNumberFormat="1" applyFont="1" applyBorder="1" applyAlignment="1"/>
    <xf numFmtId="4" fontId="18" fillId="0" borderId="11" xfId="1" applyNumberFormat="1" applyFont="1" applyBorder="1" applyAlignment="1" applyProtection="1"/>
    <xf numFmtId="167" fontId="17" fillId="0" borderId="0" xfId="1" applyFont="1" applyFill="1" applyBorder="1" applyAlignment="1" applyProtection="1"/>
    <xf numFmtId="0" fontId="17" fillId="10" borderId="11" xfId="0" applyFont="1" applyFill="1" applyBorder="1" applyAlignment="1">
      <alignment horizontal="center"/>
    </xf>
    <xf numFmtId="188" fontId="18" fillId="0" borderId="11" xfId="0" applyNumberFormat="1" applyFont="1" applyBorder="1" applyAlignment="1">
      <alignment horizontal="center" wrapText="1"/>
    </xf>
    <xf numFmtId="0" fontId="17" fillId="0" borderId="0" xfId="0" applyFont="1" applyFill="1" applyBorder="1" applyAlignment="1">
      <alignment horizontal="center"/>
    </xf>
    <xf numFmtId="0" fontId="48" fillId="11" borderId="11" xfId="0" applyFont="1" applyFill="1" applyBorder="1" applyAlignment="1">
      <alignment horizontal="center" vertical="center"/>
    </xf>
    <xf numFmtId="0" fontId="49" fillId="11" borderId="11" xfId="0" applyFont="1" applyFill="1" applyBorder="1" applyAlignment="1">
      <alignment horizontal="center" vertical="top" wrapText="1"/>
    </xf>
    <xf numFmtId="0" fontId="47" fillId="0" borderId="11" xfId="0" applyFont="1" applyFill="1" applyBorder="1" applyAlignment="1">
      <alignment horizontal="center" vertical="center"/>
    </xf>
    <xf numFmtId="2" fontId="48" fillId="0" borderId="11" xfId="0" applyNumberFormat="1" applyFont="1" applyFill="1" applyBorder="1" applyAlignment="1">
      <alignment horizontal="center" vertical="center" wrapText="1"/>
    </xf>
    <xf numFmtId="0" fontId="45" fillId="3" borderId="11" xfId="0" applyFont="1" applyFill="1" applyBorder="1" applyAlignment="1">
      <alignment horizontal="center" vertical="center" wrapText="1"/>
    </xf>
    <xf numFmtId="0" fontId="46" fillId="0" borderId="0" xfId="0" applyFont="1" applyBorder="1"/>
    <xf numFmtId="0" fontId="10" fillId="3" borderId="11" xfId="0" applyFont="1" applyFill="1" applyBorder="1" applyAlignment="1">
      <alignment horizontal="center" vertical="center" wrapText="1"/>
    </xf>
    <xf numFmtId="0" fontId="50" fillId="0" borderId="11" xfId="0" applyFont="1" applyBorder="1" applyAlignment="1">
      <alignment horizontal="right"/>
    </xf>
    <xf numFmtId="172" fontId="17" fillId="0" borderId="0" xfId="0" applyNumberFormat="1" applyFont="1" applyFill="1" applyBorder="1" applyAlignment="1">
      <alignment horizontal="center" wrapText="1"/>
    </xf>
    <xf numFmtId="4" fontId="50" fillId="0" borderId="11" xfId="0" applyNumberFormat="1" applyFont="1" applyBorder="1" applyAlignment="1">
      <alignment horizontal="center"/>
    </xf>
    <xf numFmtId="4" fontId="50" fillId="12" borderId="11" xfId="0" applyNumberFormat="1" applyFont="1" applyFill="1" applyBorder="1" applyAlignment="1">
      <alignment horizontal="center"/>
    </xf>
    <xf numFmtId="0" fontId="17" fillId="13" borderId="11" xfId="0" applyFont="1" applyFill="1" applyBorder="1" applyAlignment="1">
      <alignment horizontal="right"/>
    </xf>
    <xf numFmtId="0" fontId="17" fillId="0" borderId="0" xfId="0" applyFont="1" applyBorder="1" applyAlignment="1">
      <alignment horizontal="center"/>
    </xf>
    <xf numFmtId="4" fontId="17" fillId="0" borderId="11" xfId="0" applyNumberFormat="1" applyFont="1" applyFill="1" applyBorder="1" applyAlignment="1">
      <alignment horizontal="right"/>
    </xf>
    <xf numFmtId="165" fontId="17" fillId="0" borderId="0" xfId="0" applyNumberFormat="1" applyFont="1" applyFill="1" applyBorder="1"/>
    <xf numFmtId="4" fontId="17" fillId="0" borderId="0" xfId="0" applyNumberFormat="1" applyFont="1" applyFill="1" applyBorder="1" applyAlignment="1">
      <alignment horizontal="right"/>
    </xf>
    <xf numFmtId="165" fontId="18" fillId="0" borderId="11" xfId="0" applyNumberFormat="1" applyFont="1" applyFill="1" applyBorder="1" applyAlignment="1">
      <alignment horizontal="center" vertical="center"/>
    </xf>
    <xf numFmtId="2" fontId="18" fillId="0" borderId="11" xfId="0" applyNumberFormat="1" applyFont="1" applyFill="1" applyBorder="1" applyAlignment="1">
      <alignment horizontal="center"/>
    </xf>
    <xf numFmtId="2" fontId="17" fillId="0" borderId="11" xfId="0" applyNumberFormat="1" applyFont="1" applyFill="1" applyBorder="1"/>
    <xf numFmtId="4" fontId="17" fillId="0" borderId="11" xfId="0" applyNumberFormat="1" applyFont="1" applyFill="1" applyBorder="1"/>
    <xf numFmtId="0" fontId="17" fillId="5" borderId="11" xfId="0" applyFont="1" applyFill="1" applyBorder="1" applyAlignment="1">
      <alignment horizontal="center" vertical="center" wrapText="1"/>
    </xf>
    <xf numFmtId="0" fontId="18" fillId="0" borderId="11" xfId="0" applyFont="1" applyFill="1" applyBorder="1" applyAlignment="1">
      <alignment horizontal="center"/>
    </xf>
    <xf numFmtId="0" fontId="6" fillId="0" borderId="11" xfId="0" applyFont="1" applyFill="1" applyBorder="1" applyAlignment="1">
      <alignment horizontal="center"/>
    </xf>
    <xf numFmtId="167" fontId="17" fillId="0" borderId="11" xfId="1" applyFont="1" applyFill="1" applyBorder="1" applyAlignment="1" applyProtection="1"/>
    <xf numFmtId="186" fontId="18" fillId="0" borderId="11" xfId="0" applyNumberFormat="1" applyFont="1" applyFill="1" applyBorder="1"/>
    <xf numFmtId="4" fontId="3" fillId="0" borderId="11" xfId="0" applyNumberFormat="1" applyFont="1" applyFill="1" applyBorder="1"/>
    <xf numFmtId="174" fontId="18" fillId="0" borderId="0" xfId="0" applyNumberFormat="1" applyFont="1" applyFill="1"/>
    <xf numFmtId="174" fontId="18" fillId="0" borderId="0" xfId="0" applyNumberFormat="1" applyFont="1" applyFill="1" applyBorder="1"/>
    <xf numFmtId="165" fontId="18" fillId="0" borderId="11" xfId="0" applyNumberFormat="1" applyFont="1" applyFill="1" applyBorder="1"/>
    <xf numFmtId="180" fontId="18" fillId="0" borderId="11" xfId="1" applyNumberFormat="1" applyFont="1" applyFill="1" applyBorder="1" applyAlignment="1" applyProtection="1">
      <alignment horizontal="right"/>
    </xf>
    <xf numFmtId="166" fontId="18" fillId="0" borderId="11" xfId="0" applyNumberFormat="1" applyFont="1" applyFill="1" applyBorder="1" applyAlignment="1">
      <alignment horizontal="center"/>
    </xf>
    <xf numFmtId="167" fontId="18" fillId="0" borderId="11" xfId="1" applyFont="1" applyFill="1" applyBorder="1" applyAlignment="1" applyProtection="1"/>
    <xf numFmtId="175" fontId="18" fillId="0" borderId="0" xfId="0" applyNumberFormat="1" applyFont="1" applyFill="1" applyBorder="1" applyAlignment="1">
      <alignment horizontal="center"/>
    </xf>
    <xf numFmtId="0" fontId="48" fillId="0" borderId="0" xfId="0" applyFont="1" applyAlignment="1">
      <alignment horizontal="left" vertical="center"/>
    </xf>
    <xf numFmtId="0" fontId="51" fillId="0" borderId="0" xfId="0" applyFont="1" applyAlignment="1">
      <alignment horizontal="center"/>
    </xf>
    <xf numFmtId="0" fontId="46" fillId="0" borderId="24" xfId="0" applyFont="1" applyBorder="1" applyAlignment="1">
      <alignment horizontal="center"/>
    </xf>
    <xf numFmtId="0" fontId="52" fillId="0" borderId="11" xfId="0" applyFont="1" applyBorder="1" applyAlignment="1">
      <alignment horizontal="left"/>
    </xf>
    <xf numFmtId="0" fontId="52" fillId="0" borderId="11" xfId="0" applyFont="1" applyBorder="1" applyAlignment="1">
      <alignment horizontal="center" wrapText="1"/>
    </xf>
    <xf numFmtId="0" fontId="52" fillId="0" borderId="25" xfId="0" applyFont="1" applyBorder="1" applyAlignment="1">
      <alignment horizontal="center" wrapText="1"/>
    </xf>
    <xf numFmtId="0" fontId="53" fillId="0" borderId="24" xfId="0" applyFont="1" applyBorder="1" applyAlignment="1">
      <alignment horizontal="center"/>
    </xf>
    <xf numFmtId="0" fontId="46" fillId="0" borderId="11" xfId="0" applyFont="1" applyBorder="1" applyAlignment="1">
      <alignment horizontal="left"/>
    </xf>
    <xf numFmtId="4" fontId="46" fillId="0" borderId="11" xfId="0" applyNumberFormat="1" applyFont="1" applyBorder="1" applyAlignment="1">
      <alignment horizontal="center"/>
    </xf>
    <xf numFmtId="4" fontId="46" fillId="11" borderId="11" xfId="0" applyNumberFormat="1" applyFont="1" applyFill="1" applyBorder="1" applyAlignment="1">
      <alignment horizontal="center"/>
    </xf>
    <xf numFmtId="0" fontId="54" fillId="0" borderId="26" xfId="0" applyFont="1" applyBorder="1" applyAlignment="1">
      <alignment horizontal="center"/>
    </xf>
    <xf numFmtId="0" fontId="52" fillId="0" borderId="27" xfId="0" applyFont="1" applyBorder="1" applyAlignment="1">
      <alignment horizontal="left"/>
    </xf>
    <xf numFmtId="0" fontId="52" fillId="0" borderId="28" xfId="0" applyFont="1" applyBorder="1" applyAlignment="1">
      <alignment horizontal="left"/>
    </xf>
    <xf numFmtId="0" fontId="52" fillId="0" borderId="29" xfId="0" applyFont="1" applyBorder="1" applyAlignment="1">
      <alignment horizontal="left"/>
    </xf>
    <xf numFmtId="0" fontId="0" fillId="14" borderId="30" xfId="0" applyFill="1" applyBorder="1"/>
    <xf numFmtId="189" fontId="55" fillId="14" borderId="31" xfId="0" applyNumberFormat="1" applyFont="1" applyFill="1" applyBorder="1" applyAlignment="1">
      <alignment horizontal="center"/>
    </xf>
    <xf numFmtId="0" fontId="52" fillId="0" borderId="0" xfId="0" applyFont="1" applyAlignment="1">
      <alignment horizontal="center"/>
    </xf>
    <xf numFmtId="0" fontId="54" fillId="0" borderId="0" xfId="0" applyFont="1" applyBorder="1" applyAlignment="1">
      <alignment horizontal="center"/>
    </xf>
    <xf numFmtId="0" fontId="52" fillId="0" borderId="0" xfId="0" applyFont="1" applyBorder="1" applyAlignment="1">
      <alignment horizontal="left"/>
    </xf>
    <xf numFmtId="3" fontId="17" fillId="3" borderId="11" xfId="0" applyNumberFormat="1" applyFont="1" applyFill="1" applyBorder="1" applyAlignment="1">
      <alignment horizontal="center"/>
    </xf>
    <xf numFmtId="190" fontId="18" fillId="0" borderId="11" xfId="3" applyNumberFormat="1" applyFont="1" applyBorder="1"/>
    <xf numFmtId="0" fontId="41" fillId="5" borderId="11" xfId="0" applyFont="1" applyFill="1" applyBorder="1" applyAlignment="1">
      <alignment horizontal="center" vertical="center"/>
    </xf>
    <xf numFmtId="0" fontId="17" fillId="0" borderId="11" xfId="0" applyFont="1" applyBorder="1" applyAlignment="1">
      <alignment horizontal="left" wrapText="1"/>
    </xf>
    <xf numFmtId="0" fontId="17" fillId="0" borderId="11" xfId="0" applyFont="1" applyBorder="1" applyAlignment="1">
      <alignment horizontal="center" wrapText="1"/>
    </xf>
    <xf numFmtId="0" fontId="18" fillId="0" borderId="11" xfId="0" applyFont="1" applyBorder="1"/>
    <xf numFmtId="0" fontId="3" fillId="0" borderId="0" xfId="0" applyFont="1" applyAlignment="1">
      <alignment horizontal="left" vertical="center" wrapText="1"/>
    </xf>
    <xf numFmtId="0" fontId="17" fillId="0" borderId="11" xfId="0" applyFont="1" applyBorder="1" applyAlignment="1">
      <alignment wrapText="1"/>
    </xf>
    <xf numFmtId="0" fontId="17" fillId="0" borderId="11" xfId="0" applyFont="1" applyBorder="1"/>
    <xf numFmtId="0" fontId="18" fillId="0" borderId="11" xfId="0" applyFont="1" applyBorder="1" applyAlignment="1">
      <alignment wrapText="1"/>
    </xf>
    <xf numFmtId="0" fontId="17" fillId="0" borderId="11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17" fillId="0" borderId="11" xfId="0" applyFont="1" applyBorder="1" applyAlignment="1">
      <alignment horizontal="left"/>
    </xf>
    <xf numFmtId="0" fontId="17" fillId="0" borderId="11" xfId="0" applyFont="1" applyBorder="1" applyAlignment="1">
      <alignment horizontal="center" vertical="center" wrapText="1"/>
    </xf>
    <xf numFmtId="0" fontId="17" fillId="0" borderId="12" xfId="0" applyFont="1" applyBorder="1" applyAlignment="1"/>
    <xf numFmtId="0" fontId="17" fillId="0" borderId="13" xfId="0" applyFont="1" applyBorder="1" applyAlignment="1"/>
    <xf numFmtId="171" fontId="18" fillId="0" borderId="11" xfId="0" applyNumberFormat="1" applyFont="1" applyFill="1" applyBorder="1" applyAlignment="1">
      <alignment horizontal="center" vertical="center" wrapText="1"/>
    </xf>
    <xf numFmtId="171" fontId="18" fillId="0" borderId="19" xfId="0" applyNumberFormat="1" applyFont="1" applyFill="1" applyBorder="1" applyAlignment="1">
      <alignment horizontal="center" vertical="center" wrapText="1"/>
    </xf>
    <xf numFmtId="171" fontId="18" fillId="0" borderId="32" xfId="0" applyNumberFormat="1" applyFont="1" applyFill="1" applyBorder="1" applyAlignment="1">
      <alignment horizontal="center" vertical="center" wrapText="1"/>
    </xf>
    <xf numFmtId="171" fontId="18" fillId="0" borderId="16" xfId="0" applyNumberFormat="1" applyFont="1" applyFill="1" applyBorder="1" applyAlignment="1">
      <alignment horizontal="center" vertical="center" wrapText="1"/>
    </xf>
    <xf numFmtId="0" fontId="17" fillId="0" borderId="32" xfId="0" applyFont="1" applyBorder="1" applyAlignment="1">
      <alignment horizontal="left" vertical="top" wrapText="1"/>
    </xf>
    <xf numFmtId="0" fontId="56" fillId="5" borderId="11" xfId="0" applyFont="1" applyFill="1" applyBorder="1" applyAlignment="1">
      <alignment horizontal="center" vertical="center"/>
    </xf>
    <xf numFmtId="0" fontId="18" fillId="0" borderId="0" xfId="0" applyFont="1" applyBorder="1" applyAlignment="1">
      <alignment horizontal="justify" vertical="center" wrapText="1"/>
    </xf>
    <xf numFmtId="0" fontId="17" fillId="6" borderId="11" xfId="0" applyFont="1" applyFill="1" applyBorder="1" applyAlignment="1"/>
    <xf numFmtId="0" fontId="18" fillId="0" borderId="13" xfId="0" applyFont="1" applyBorder="1" applyAlignment="1">
      <alignment horizontal="center"/>
    </xf>
    <xf numFmtId="166" fontId="17" fillId="0" borderId="11" xfId="0" applyNumberFormat="1" applyFont="1" applyBorder="1" applyAlignment="1">
      <alignment horizontal="center"/>
    </xf>
    <xf numFmtId="0" fontId="17" fillId="3" borderId="12" xfId="0" applyFont="1" applyFill="1" applyBorder="1" applyAlignment="1">
      <alignment horizontal="left"/>
    </xf>
    <xf numFmtId="167" fontId="17" fillId="3" borderId="11" xfId="0" applyNumberFormat="1" applyFont="1" applyFill="1" applyBorder="1" applyAlignment="1">
      <alignment horizontal="center"/>
    </xf>
    <xf numFmtId="0" fontId="40" fillId="15" borderId="11" xfId="0" applyFont="1" applyFill="1" applyBorder="1" applyAlignment="1">
      <alignment horizontal="center"/>
    </xf>
    <xf numFmtId="0" fontId="18" fillId="0" borderId="11" xfId="0" applyFont="1" applyBorder="1" applyAlignment="1"/>
    <xf numFmtId="167" fontId="18" fillId="0" borderId="11" xfId="0" applyNumberFormat="1" applyFont="1" applyBorder="1" applyAlignment="1"/>
    <xf numFmtId="0" fontId="18" fillId="0" borderId="11" xfId="0" applyFont="1" applyBorder="1" applyAlignment="1">
      <alignment horizontal="left" wrapText="1"/>
    </xf>
    <xf numFmtId="167" fontId="18" fillId="0" borderId="11" xfId="1" applyFont="1" applyBorder="1" applyAlignment="1" applyProtection="1">
      <alignment horizontal="center"/>
    </xf>
    <xf numFmtId="0" fontId="17" fillId="0" borderId="11" xfId="0" applyFont="1" applyBorder="1" applyAlignment="1"/>
    <xf numFmtId="167" fontId="17" fillId="0" borderId="11" xfId="0" applyNumberFormat="1" applyFont="1" applyBorder="1" applyAlignment="1">
      <alignment horizontal="right"/>
    </xf>
    <xf numFmtId="166" fontId="18" fillId="0" borderId="11" xfId="0" applyNumberFormat="1" applyFont="1" applyBorder="1" applyAlignment="1"/>
    <xf numFmtId="167" fontId="17" fillId="0" borderId="11" xfId="0" applyNumberFormat="1" applyFont="1" applyBorder="1" applyAlignment="1">
      <alignment horizontal="center"/>
    </xf>
    <xf numFmtId="0" fontId="17" fillId="6" borderId="11" xfId="0" applyFont="1" applyFill="1" applyBorder="1" applyAlignment="1">
      <alignment horizontal="left"/>
    </xf>
    <xf numFmtId="0" fontId="18" fillId="0" borderId="11" xfId="0" applyFont="1" applyBorder="1" applyAlignment="1">
      <alignment horizontal="justify" wrapText="1"/>
    </xf>
    <xf numFmtId="0" fontId="17" fillId="3" borderId="11" xfId="0" applyFont="1" applyFill="1" applyBorder="1" applyAlignment="1">
      <alignment horizontal="left"/>
    </xf>
    <xf numFmtId="4" fontId="17" fillId="0" borderId="11" xfId="0" applyNumberFormat="1" applyFont="1" applyBorder="1" applyAlignment="1">
      <alignment horizontal="center" vertical="center"/>
    </xf>
    <xf numFmtId="0" fontId="50" fillId="0" borderId="23" xfId="0" applyFont="1" applyBorder="1" applyAlignment="1">
      <alignment horizontal="left" wrapText="1"/>
    </xf>
    <xf numFmtId="0" fontId="50" fillId="0" borderId="13" xfId="0" applyFont="1" applyBorder="1" applyAlignment="1">
      <alignment horizontal="left" wrapText="1"/>
    </xf>
    <xf numFmtId="0" fontId="18" fillId="0" borderId="12" xfId="0" applyFont="1" applyBorder="1" applyAlignment="1">
      <alignment horizontal="justify" vertical="center" wrapText="1"/>
    </xf>
    <xf numFmtId="0" fontId="18" fillId="0" borderId="23" xfId="0" applyFont="1" applyBorder="1" applyAlignment="1">
      <alignment horizontal="justify" vertical="center" wrapText="1"/>
    </xf>
    <xf numFmtId="0" fontId="18" fillId="0" borderId="13" xfId="0" applyFont="1" applyBorder="1" applyAlignment="1">
      <alignment horizontal="justify" vertical="center" wrapText="1"/>
    </xf>
    <xf numFmtId="0" fontId="17" fillId="5" borderId="11" xfId="0" applyFont="1" applyFill="1" applyBorder="1" applyAlignment="1">
      <alignment horizontal="center" wrapText="1"/>
    </xf>
    <xf numFmtId="0" fontId="17" fillId="0" borderId="11" xfId="0" applyFont="1" applyBorder="1" applyAlignment="1">
      <alignment vertical="center"/>
    </xf>
    <xf numFmtId="0" fontId="17" fillId="0" borderId="19" xfId="0" applyFont="1" applyBorder="1" applyAlignment="1">
      <alignment horizontal="left" vertical="top" wrapText="1"/>
    </xf>
    <xf numFmtId="0" fontId="50" fillId="0" borderId="19" xfId="0" applyFont="1" applyFill="1" applyBorder="1" applyAlignment="1">
      <alignment horizontal="center" vertical="center"/>
    </xf>
    <xf numFmtId="0" fontId="50" fillId="0" borderId="32" xfId="0" applyFont="1" applyFill="1" applyBorder="1" applyAlignment="1">
      <alignment horizontal="center" vertical="center"/>
    </xf>
    <xf numFmtId="0" fontId="50" fillId="0" borderId="16" xfId="0" applyFont="1" applyFill="1" applyBorder="1" applyAlignment="1">
      <alignment horizontal="center" vertical="center"/>
    </xf>
    <xf numFmtId="0" fontId="13" fillId="0" borderId="19" xfId="0" applyFont="1" applyFill="1" applyBorder="1" applyAlignment="1">
      <alignment horizontal="center" vertical="center"/>
    </xf>
    <xf numFmtId="0" fontId="13" fillId="0" borderId="32" xfId="0" applyFont="1" applyFill="1" applyBorder="1" applyAlignment="1">
      <alignment horizontal="center" vertical="center"/>
    </xf>
    <xf numFmtId="0" fontId="13" fillId="0" borderId="16" xfId="0" applyFont="1" applyFill="1" applyBorder="1" applyAlignment="1">
      <alignment horizontal="center" vertical="center"/>
    </xf>
    <xf numFmtId="0" fontId="17" fillId="0" borderId="16" xfId="0" applyFont="1" applyBorder="1" applyAlignment="1">
      <alignment horizontal="left" vertical="top" wrapText="1"/>
    </xf>
    <xf numFmtId="0" fontId="17" fillId="0" borderId="19" xfId="0" applyFont="1" applyBorder="1" applyAlignment="1">
      <alignment horizontal="left"/>
    </xf>
    <xf numFmtId="0" fontId="52" fillId="0" borderId="11" xfId="0" applyFont="1" applyFill="1" applyBorder="1" applyAlignment="1">
      <alignment horizontal="center" vertical="center"/>
    </xf>
    <xf numFmtId="0" fontId="48" fillId="0" borderId="19" xfId="0" applyFont="1" applyFill="1" applyBorder="1" applyAlignment="1">
      <alignment horizontal="center" vertical="center"/>
    </xf>
    <xf numFmtId="0" fontId="48" fillId="0" borderId="32" xfId="0" applyFont="1" applyFill="1" applyBorder="1" applyAlignment="1">
      <alignment horizontal="center" vertical="center"/>
    </xf>
    <xf numFmtId="0" fontId="48" fillId="0" borderId="16" xfId="0" applyFont="1" applyFill="1" applyBorder="1" applyAlignment="1">
      <alignment horizontal="center" vertical="center"/>
    </xf>
    <xf numFmtId="0" fontId="17" fillId="0" borderId="32" xfId="0" applyFont="1" applyBorder="1" applyAlignment="1">
      <alignment horizontal="left" wrapText="1"/>
    </xf>
    <xf numFmtId="0" fontId="17" fillId="0" borderId="16" xfId="0" applyFont="1" applyBorder="1" applyAlignment="1">
      <alignment horizontal="left"/>
    </xf>
    <xf numFmtId="0" fontId="17" fillId="0" borderId="11" xfId="0" applyFont="1" applyBorder="1" applyAlignment="1">
      <alignment horizontal="center" vertical="center"/>
    </xf>
    <xf numFmtId="0" fontId="17" fillId="0" borderId="19" xfId="0" applyFont="1" applyBorder="1" applyAlignment="1">
      <alignment horizontal="left" wrapText="1"/>
    </xf>
    <xf numFmtId="0" fontId="52" fillId="0" borderId="19" xfId="0" applyFont="1" applyFill="1" applyBorder="1" applyAlignment="1">
      <alignment horizontal="center" vertical="center"/>
    </xf>
    <xf numFmtId="0" fontId="52" fillId="0" borderId="32" xfId="0" applyFont="1" applyFill="1" applyBorder="1" applyAlignment="1">
      <alignment horizontal="center" vertical="center"/>
    </xf>
    <xf numFmtId="0" fontId="52" fillId="0" borderId="16" xfId="0" applyFont="1" applyFill="1" applyBorder="1" applyAlignment="1">
      <alignment horizontal="center" vertical="center"/>
    </xf>
    <xf numFmtId="0" fontId="17" fillId="0" borderId="32" xfId="0" applyFont="1" applyBorder="1" applyAlignment="1">
      <alignment horizontal="left"/>
    </xf>
    <xf numFmtId="0" fontId="17" fillId="0" borderId="33" xfId="0" applyFont="1" applyBorder="1" applyAlignment="1">
      <alignment horizontal="center" vertical="center" wrapText="1"/>
    </xf>
    <xf numFmtId="0" fontId="52" fillId="0" borderId="33" xfId="0" applyFont="1" applyFill="1" applyBorder="1" applyAlignment="1">
      <alignment horizontal="center" vertical="center"/>
    </xf>
    <xf numFmtId="0" fontId="48" fillId="0" borderId="17" xfId="0" applyFont="1" applyFill="1" applyBorder="1" applyAlignment="1">
      <alignment horizontal="center" vertical="center"/>
    </xf>
    <xf numFmtId="0" fontId="17" fillId="0" borderId="17" xfId="0" applyFont="1" applyBorder="1" applyAlignment="1">
      <alignment horizontal="left"/>
    </xf>
    <xf numFmtId="0" fontId="17" fillId="0" borderId="17" xfId="0" applyFont="1" applyBorder="1" applyAlignment="1">
      <alignment horizontal="center" wrapText="1"/>
    </xf>
    <xf numFmtId="0" fontId="17" fillId="5" borderId="18" xfId="0" applyFont="1" applyFill="1" applyBorder="1" applyAlignment="1">
      <alignment horizontal="center" wrapText="1"/>
    </xf>
    <xf numFmtId="0" fontId="18" fillId="0" borderId="11" xfId="0" applyFont="1" applyBorder="1" applyAlignment="1">
      <alignment horizontal="left"/>
    </xf>
    <xf numFmtId="0" fontId="18" fillId="0" borderId="0" xfId="0" applyFont="1" applyBorder="1" applyAlignment="1">
      <alignment horizontal="justify" wrapText="1"/>
    </xf>
    <xf numFmtId="0" fontId="21" fillId="0" borderId="11" xfId="0" applyFont="1" applyBorder="1" applyAlignment="1">
      <alignment horizontal="left" wrapText="1"/>
    </xf>
    <xf numFmtId="0" fontId="17" fillId="0" borderId="12" xfId="0" applyFont="1" applyBorder="1" applyAlignment="1">
      <alignment horizontal="left"/>
    </xf>
    <xf numFmtId="0" fontId="17" fillId="7" borderId="11" xfId="0" applyFont="1" applyFill="1" applyBorder="1" applyAlignment="1">
      <alignment horizontal="left"/>
    </xf>
    <xf numFmtId="0" fontId="17" fillId="7" borderId="11" xfId="0" applyFont="1" applyFill="1" applyBorder="1" applyAlignment="1">
      <alignment horizontal="center"/>
    </xf>
    <xf numFmtId="0" fontId="28" fillId="8" borderId="11" xfId="0" applyFont="1" applyFill="1" applyBorder="1" applyAlignment="1">
      <alignment horizontal="left"/>
    </xf>
    <xf numFmtId="0" fontId="21" fillId="0" borderId="11" xfId="0" applyFont="1" applyBorder="1" applyAlignment="1">
      <alignment horizontal="right"/>
    </xf>
    <xf numFmtId="2" fontId="21" fillId="0" borderId="15" xfId="0" applyNumberFormat="1" applyFont="1" applyBorder="1" applyAlignment="1">
      <alignment horizontal="right"/>
    </xf>
    <xf numFmtId="167" fontId="17" fillId="3" borderId="11" xfId="1" applyFont="1" applyFill="1" applyBorder="1" applyAlignment="1" applyProtection="1"/>
    <xf numFmtId="0" fontId="18" fillId="0" borderId="11" xfId="0" applyFont="1" applyBorder="1" applyAlignment="1">
      <alignment wrapText="1" shrinkToFit="1"/>
    </xf>
    <xf numFmtId="0" fontId="18" fillId="0" borderId="0" xfId="0" applyFont="1" applyBorder="1" applyAlignment="1">
      <alignment horizontal="left"/>
    </xf>
    <xf numFmtId="2" fontId="17" fillId="0" borderId="11" xfId="0" applyNumberFormat="1" applyFont="1" applyBorder="1" applyAlignment="1"/>
    <xf numFmtId="167" fontId="17" fillId="3" borderId="11" xfId="1" applyFont="1" applyFill="1" applyBorder="1" applyAlignment="1" applyProtection="1">
      <alignment horizontal="center"/>
    </xf>
    <xf numFmtId="0" fontId="3" fillId="0" borderId="11" xfId="0" applyFont="1" applyBorder="1" applyAlignment="1">
      <alignment horizontal="left"/>
    </xf>
    <xf numFmtId="0" fontId="3" fillId="0" borderId="11" xfId="0" applyFont="1" applyBorder="1" applyAlignment="1">
      <alignment horizontal="left" wrapText="1"/>
    </xf>
    <xf numFmtId="166" fontId="17" fillId="3" borderId="11" xfId="0" applyNumberFormat="1" applyFont="1" applyFill="1" applyBorder="1" applyAlignment="1">
      <alignment horizontal="center"/>
    </xf>
    <xf numFmtId="167" fontId="17" fillId="3" borderId="11" xfId="0" applyNumberFormat="1" applyFont="1" applyFill="1" applyBorder="1" applyAlignment="1"/>
    <xf numFmtId="0" fontId="3" fillId="0" borderId="12" xfId="0" applyFont="1" applyBorder="1" applyAlignment="1">
      <alignment horizontal="left"/>
    </xf>
    <xf numFmtId="0" fontId="6" fillId="0" borderId="12" xfId="0" applyFont="1" applyBorder="1" applyAlignment="1">
      <alignment horizontal="left"/>
    </xf>
    <xf numFmtId="0" fontId="18" fillId="0" borderId="0" xfId="0" applyFont="1" applyBorder="1" applyAlignment="1">
      <alignment horizontal="left" wrapText="1"/>
    </xf>
    <xf numFmtId="4" fontId="17" fillId="3" borderId="11" xfId="0" applyNumberFormat="1" applyFont="1" applyFill="1" applyBorder="1" applyAlignment="1"/>
    <xf numFmtId="0" fontId="28" fillId="8" borderId="11" xfId="0" applyFont="1" applyFill="1" applyBorder="1" applyAlignment="1"/>
    <xf numFmtId="0" fontId="17" fillId="4" borderId="11" xfId="0" applyFont="1" applyFill="1" applyBorder="1" applyAlignment="1"/>
    <xf numFmtId="0" fontId="18" fillId="0" borderId="13" xfId="0" applyFont="1" applyBorder="1" applyAlignment="1">
      <alignment horizontal="left"/>
    </xf>
    <xf numFmtId="0" fontId="18" fillId="0" borderId="23" xfId="0" applyFont="1" applyBorder="1" applyAlignment="1">
      <alignment horizontal="left"/>
    </xf>
    <xf numFmtId="0" fontId="17" fillId="4" borderId="11" xfId="0" applyFont="1" applyFill="1" applyBorder="1" applyAlignment="1">
      <alignment horizontal="center"/>
    </xf>
    <xf numFmtId="167" fontId="6" fillId="3" borderId="11" xfId="1" applyFont="1" applyFill="1" applyBorder="1" applyAlignment="1" applyProtection="1">
      <alignment horizontal="center"/>
    </xf>
    <xf numFmtId="0" fontId="45" fillId="0" borderId="11" xfId="0" applyFont="1" applyBorder="1" applyAlignment="1">
      <alignment horizontal="left"/>
    </xf>
    <xf numFmtId="0" fontId="17" fillId="0" borderId="11" xfId="0" applyFont="1" applyBorder="1" applyAlignment="1">
      <alignment horizontal="left" vertical="center" wrapText="1"/>
    </xf>
    <xf numFmtId="0" fontId="17" fillId="3" borderId="11" xfId="0" applyFont="1" applyFill="1" applyBorder="1" applyAlignment="1">
      <alignment horizontal="left" vertical="center"/>
    </xf>
    <xf numFmtId="0" fontId="17" fillId="0" borderId="11" xfId="0" applyFont="1" applyBorder="1" applyAlignment="1">
      <alignment horizontal="justify" wrapText="1"/>
    </xf>
    <xf numFmtId="0" fontId="6" fillId="3" borderId="11" xfId="0" applyFont="1" applyFill="1" applyBorder="1" applyAlignment="1">
      <alignment horizontal="left"/>
    </xf>
    <xf numFmtId="9" fontId="18" fillId="0" borderId="11" xfId="0" applyNumberFormat="1" applyFont="1" applyBorder="1" applyAlignment="1">
      <alignment horizontal="left"/>
    </xf>
    <xf numFmtId="0" fontId="17" fillId="0" borderId="11" xfId="0" applyFont="1" applyBorder="1" applyAlignment="1">
      <alignment horizontal="right"/>
    </xf>
    <xf numFmtId="0" fontId="18" fillId="0" borderId="0" xfId="0" applyFont="1" applyBorder="1" applyAlignment="1">
      <alignment horizontal="left" vertical="top" wrapText="1"/>
    </xf>
    <xf numFmtId="0" fontId="17" fillId="3" borderId="11" xfId="0" applyFont="1" applyFill="1" applyBorder="1" applyAlignment="1">
      <alignment horizontal="left" wrapText="1"/>
    </xf>
    <xf numFmtId="0" fontId="57" fillId="0" borderId="11" xfId="0" applyFont="1" applyBorder="1" applyAlignment="1">
      <alignment horizontal="left" vertical="center" wrapText="1"/>
    </xf>
    <xf numFmtId="9" fontId="18" fillId="0" borderId="11" xfId="0" applyNumberFormat="1" applyFont="1" applyBorder="1" applyAlignment="1">
      <alignment horizontal="left" vertical="center" wrapText="1"/>
    </xf>
    <xf numFmtId="0" fontId="17" fillId="3" borderId="11" xfId="0" applyFont="1" applyFill="1" applyBorder="1" applyAlignment="1"/>
    <xf numFmtId="0" fontId="41" fillId="5" borderId="12" xfId="0" applyFont="1" applyFill="1" applyBorder="1" applyAlignment="1">
      <alignment horizontal="center" vertical="center" wrapText="1"/>
    </xf>
    <xf numFmtId="0" fontId="41" fillId="5" borderId="23" xfId="0" applyFont="1" applyFill="1" applyBorder="1" applyAlignment="1">
      <alignment horizontal="center" vertical="center" wrapText="1"/>
    </xf>
    <xf numFmtId="0" fontId="41" fillId="5" borderId="13" xfId="0" applyFont="1" applyFill="1" applyBorder="1" applyAlignment="1">
      <alignment horizontal="center" vertical="center" wrapText="1"/>
    </xf>
    <xf numFmtId="0" fontId="18" fillId="0" borderId="0" xfId="0" applyFont="1" applyBorder="1" applyAlignment="1">
      <alignment horizontal="left" vertical="center" wrapText="1"/>
    </xf>
    <xf numFmtId="0" fontId="17" fillId="5" borderId="11" xfId="0" applyFont="1" applyFill="1" applyBorder="1" applyAlignment="1">
      <alignment horizontal="left"/>
    </xf>
    <xf numFmtId="0" fontId="45" fillId="3" borderId="11" xfId="0" applyFont="1" applyFill="1" applyBorder="1" applyAlignment="1">
      <alignment horizontal="left"/>
    </xf>
    <xf numFmtId="0" fontId="6" fillId="3" borderId="11" xfId="0" applyFont="1" applyFill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17" fillId="3" borderId="11" xfId="0" applyFont="1" applyFill="1" applyBorder="1" applyAlignment="1">
      <alignment horizontal="right"/>
    </xf>
    <xf numFmtId="2" fontId="18" fillId="0" borderId="12" xfId="0" applyNumberFormat="1" applyFont="1" applyBorder="1" applyAlignment="1">
      <alignment wrapText="1"/>
    </xf>
    <xf numFmtId="2" fontId="18" fillId="0" borderId="23" xfId="0" applyNumberFormat="1" applyFont="1" applyBorder="1" applyAlignment="1">
      <alignment wrapText="1"/>
    </xf>
    <xf numFmtId="2" fontId="18" fillId="0" borderId="13" xfId="0" applyNumberFormat="1" applyFont="1" applyBorder="1" applyAlignment="1">
      <alignment wrapText="1"/>
    </xf>
    <xf numFmtId="0" fontId="17" fillId="5" borderId="11" xfId="0" applyFont="1" applyFill="1" applyBorder="1" applyAlignment="1">
      <alignment horizontal="center"/>
    </xf>
    <xf numFmtId="0" fontId="28" fillId="3" borderId="11" xfId="0" applyFont="1" applyFill="1" applyBorder="1" applyAlignment="1">
      <alignment horizontal="left"/>
    </xf>
    <xf numFmtId="0" fontId="18" fillId="0" borderId="0" xfId="0" applyFont="1" applyBorder="1" applyAlignment="1">
      <alignment wrapText="1"/>
    </xf>
    <xf numFmtId="0" fontId="17" fillId="0" borderId="0" xfId="0" applyFont="1" applyBorder="1" applyAlignment="1">
      <alignment horizontal="left" wrapText="1"/>
    </xf>
    <xf numFmtId="4" fontId="17" fillId="0" borderId="11" xfId="0" applyNumberFormat="1" applyFont="1" applyFill="1" applyBorder="1" applyAlignment="1"/>
    <xf numFmtId="4" fontId="6" fillId="3" borderId="11" xfId="1" applyNumberFormat="1" applyFont="1" applyFill="1" applyBorder="1" applyAlignment="1" applyProtection="1">
      <alignment horizontal="center"/>
    </xf>
    <xf numFmtId="0" fontId="17" fillId="0" borderId="11" xfId="0" applyFont="1" applyBorder="1" applyAlignment="1">
      <alignment vertical="center" wrapText="1"/>
    </xf>
    <xf numFmtId="0" fontId="17" fillId="0" borderId="0" xfId="0" applyFont="1" applyBorder="1" applyAlignment="1">
      <alignment horizontal="center"/>
    </xf>
    <xf numFmtId="0" fontId="21" fillId="0" borderId="11" xfId="0" applyFont="1" applyBorder="1" applyAlignment="1">
      <alignment horizontal="left"/>
    </xf>
    <xf numFmtId="0" fontId="48" fillId="11" borderId="11" xfId="0" applyFont="1" applyFill="1" applyBorder="1" applyAlignment="1">
      <alignment horizontal="left" vertical="center"/>
    </xf>
    <xf numFmtId="0" fontId="47" fillId="0" borderId="11" xfId="0" applyFont="1" applyFill="1" applyBorder="1" applyAlignment="1">
      <alignment horizontal="left" vertical="center"/>
    </xf>
    <xf numFmtId="0" fontId="46" fillId="0" borderId="19" xfId="0" applyFont="1" applyBorder="1" applyAlignment="1">
      <alignment horizontal="center" vertical="center"/>
    </xf>
    <xf numFmtId="0" fontId="46" fillId="0" borderId="16" xfId="0" applyFont="1" applyBorder="1" applyAlignment="1">
      <alignment horizontal="center" vertical="center"/>
    </xf>
    <xf numFmtId="0" fontId="46" fillId="0" borderId="32" xfId="0" applyFont="1" applyBorder="1" applyAlignment="1">
      <alignment horizontal="center" vertical="center"/>
    </xf>
    <xf numFmtId="0" fontId="17" fillId="0" borderId="12" xfId="0" applyFont="1" applyBorder="1" applyAlignment="1">
      <alignment horizontal="right"/>
    </xf>
    <xf numFmtId="0" fontId="17" fillId="0" borderId="23" xfId="0" applyFont="1" applyBorder="1" applyAlignment="1">
      <alignment horizontal="right"/>
    </xf>
    <xf numFmtId="0" fontId="17" fillId="0" borderId="13" xfId="0" applyFont="1" applyBorder="1" applyAlignment="1">
      <alignment horizontal="right"/>
    </xf>
    <xf numFmtId="0" fontId="17" fillId="13" borderId="12" xfId="0" applyFont="1" applyFill="1" applyBorder="1" applyAlignment="1">
      <alignment horizontal="right"/>
    </xf>
    <xf numFmtId="0" fontId="17" fillId="13" borderId="23" xfId="0" applyFont="1" applyFill="1" applyBorder="1" applyAlignment="1">
      <alignment horizontal="right"/>
    </xf>
    <xf numFmtId="0" fontId="17" fillId="13" borderId="13" xfId="0" applyFont="1" applyFill="1" applyBorder="1" applyAlignment="1">
      <alignment horizontal="right"/>
    </xf>
    <xf numFmtId="0" fontId="50" fillId="0" borderId="11" xfId="0" applyFont="1" applyBorder="1" applyAlignment="1">
      <alignment horizontal="right"/>
    </xf>
    <xf numFmtId="0" fontId="56" fillId="3" borderId="11" xfId="0" applyFont="1" applyFill="1" applyBorder="1" applyAlignment="1">
      <alignment horizontal="center" vertical="center"/>
    </xf>
    <xf numFmtId="0" fontId="41" fillId="3" borderId="11" xfId="0" applyFont="1" applyFill="1" applyBorder="1" applyAlignment="1">
      <alignment horizontal="center" vertical="center"/>
    </xf>
    <xf numFmtId="0" fontId="23" fillId="0" borderId="11" xfId="0" applyFont="1" applyBorder="1" applyAlignment="1">
      <alignment horizontal="center" wrapText="1"/>
    </xf>
    <xf numFmtId="4" fontId="17" fillId="6" borderId="11" xfId="0" applyNumberFormat="1" applyFont="1" applyFill="1" applyBorder="1" applyAlignment="1">
      <alignment horizontal="left"/>
    </xf>
    <xf numFmtId="165" fontId="18" fillId="0" borderId="11" xfId="0" applyNumberFormat="1" applyFont="1" applyBorder="1" applyAlignment="1">
      <alignment horizontal="center"/>
    </xf>
    <xf numFmtId="0" fontId="6" fillId="0" borderId="11" xfId="0" applyFont="1" applyBorder="1" applyAlignment="1">
      <alignment horizontal="right"/>
    </xf>
    <xf numFmtId="2" fontId="17" fillId="3" borderId="11" xfId="0" applyNumberFormat="1" applyFont="1" applyFill="1" applyBorder="1" applyAlignment="1">
      <alignment horizontal="left" wrapText="1"/>
    </xf>
    <xf numFmtId="2" fontId="17" fillId="6" borderId="11" xfId="0" applyNumberFormat="1" applyFont="1" applyFill="1" applyBorder="1" applyAlignment="1">
      <alignment horizontal="left" wrapText="1"/>
    </xf>
    <xf numFmtId="2" fontId="21" fillId="0" borderId="11" xfId="0" applyNumberFormat="1" applyFont="1" applyBorder="1" applyAlignment="1">
      <alignment horizontal="left" wrapText="1"/>
    </xf>
    <xf numFmtId="2" fontId="17" fillId="0" borderId="11" xfId="0" applyNumberFormat="1" applyFont="1" applyBorder="1" applyAlignment="1">
      <alignment horizontal="right" wrapText="1"/>
    </xf>
    <xf numFmtId="2" fontId="17" fillId="0" borderId="19" xfId="0" applyNumberFormat="1" applyFont="1" applyBorder="1" applyAlignment="1">
      <alignment horizontal="right" wrapText="1"/>
    </xf>
    <xf numFmtId="2" fontId="17" fillId="5" borderId="11" xfId="0" applyNumberFormat="1" applyFont="1" applyFill="1" applyBorder="1" applyAlignment="1">
      <alignment horizontal="left" wrapText="1"/>
    </xf>
    <xf numFmtId="0" fontId="17" fillId="5" borderId="11" xfId="0" applyFont="1" applyFill="1" applyBorder="1" applyAlignment="1">
      <alignment horizontal="right"/>
    </xf>
    <xf numFmtId="2" fontId="17" fillId="5" borderId="11" xfId="0" applyNumberFormat="1" applyFont="1" applyFill="1" applyBorder="1" applyAlignment="1">
      <alignment horizontal="right" wrapText="1"/>
    </xf>
    <xf numFmtId="0" fontId="18" fillId="0" borderId="11" xfId="0" applyFont="1" applyBorder="1" applyAlignment="1">
      <alignment horizontal="center"/>
    </xf>
    <xf numFmtId="2" fontId="17" fillId="0" borderId="11" xfId="0" applyNumberFormat="1" applyFont="1" applyBorder="1" applyAlignment="1">
      <alignment horizontal="center" wrapText="1"/>
    </xf>
    <xf numFmtId="0" fontId="55" fillId="14" borderId="1" xfId="0" applyFont="1" applyFill="1" applyBorder="1" applyAlignment="1">
      <alignment horizontal="center"/>
    </xf>
    <xf numFmtId="0" fontId="46" fillId="0" borderId="34" xfId="0" applyFont="1" applyFill="1" applyBorder="1" applyAlignment="1">
      <alignment horizontal="left"/>
    </xf>
  </cellXfs>
  <cellStyles count="4">
    <cellStyle name="Moeda" xfId="1" builtinId="4"/>
    <cellStyle name="Normal" xfId="0" builtinId="0"/>
    <cellStyle name="Porcentagem" xfId="2" builtinId="5"/>
    <cellStyle name="Separador de milhares" xfId="3" builtin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2F2F2"/>
      <rgbColor rgb="00E6E0EC"/>
      <rgbColor rgb="00660066"/>
      <rgbColor rgb="00FF8080"/>
      <rgbColor rgb="002A6099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BFBFBF"/>
      <rgbColor rgb="00FF99CC"/>
      <rgbColor rgb="00CC99FF"/>
      <rgbColor rgb="00DDD9C3"/>
      <rgbColor rgb="003366FF"/>
      <rgbColor rgb="0033CCCC"/>
      <rgbColor rgb="0099CC00"/>
      <rgbColor rgb="00FFCC00"/>
      <rgbColor rgb="00FF9933"/>
      <rgbColor rgb="00FF6600"/>
      <rgbColor rgb="00595959"/>
      <rgbColor rgb="00A6A6A6"/>
      <rgbColor rgb="00003366"/>
      <rgbColor rgb="00339966"/>
      <rgbColor rgb="00003300"/>
      <rgbColor rgb="00404040"/>
      <rgbColor rgb="00993300"/>
      <rgbColor rgb="00993366"/>
      <rgbColor rgb="001F497D"/>
      <rgbColor rgb="0026262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4"/>
  <sheetViews>
    <sheetView tabSelected="1" zoomScale="120" zoomScaleNormal="120" workbookViewId="0"/>
  </sheetViews>
  <sheetFormatPr defaultColWidth="8.7109375" defaultRowHeight="15"/>
  <cols>
    <col min="1" max="1" width="40.42578125" customWidth="1"/>
    <col min="2" max="2" width="13.7109375" customWidth="1"/>
  </cols>
  <sheetData>
    <row r="1" spans="1:4">
      <c r="A1" s="181" t="s">
        <v>0</v>
      </c>
    </row>
    <row r="3" spans="1:4" ht="22.5">
      <c r="A3" s="2" t="s">
        <v>1</v>
      </c>
      <c r="B3" s="2" t="s">
        <v>2</v>
      </c>
    </row>
    <row r="4" spans="1:4">
      <c r="A4" s="3" t="s">
        <v>3</v>
      </c>
      <c r="B4" s="4">
        <v>0.04</v>
      </c>
      <c r="D4" s="577"/>
    </row>
    <row r="5" spans="1:4">
      <c r="A5" s="5" t="s">
        <v>4</v>
      </c>
      <c r="B5" s="6">
        <v>4.0000000000000001E-3</v>
      </c>
      <c r="D5" s="577"/>
    </row>
    <row r="6" spans="1:4">
      <c r="A6" s="7" t="s">
        <v>5</v>
      </c>
      <c r="B6" s="8">
        <v>6.0000000000000001E-3</v>
      </c>
      <c r="D6" s="577"/>
    </row>
    <row r="7" spans="1:4">
      <c r="A7" s="9" t="s">
        <v>6</v>
      </c>
      <c r="B7" s="10">
        <v>0.01</v>
      </c>
      <c r="D7" s="577"/>
    </row>
    <row r="8" spans="1:4">
      <c r="A8" s="11" t="s">
        <v>7</v>
      </c>
      <c r="B8" s="12">
        <v>0.08</v>
      </c>
      <c r="D8" s="577"/>
    </row>
    <row r="9" spans="1:4">
      <c r="A9" s="13" t="s">
        <v>8</v>
      </c>
      <c r="B9" s="14">
        <v>3.6499999999999998E-2</v>
      </c>
    </row>
    <row r="10" spans="1:4">
      <c r="A10" s="15" t="s">
        <v>9</v>
      </c>
      <c r="B10" s="16">
        <v>0.03</v>
      </c>
    </row>
    <row r="11" spans="1:4" ht="22.5">
      <c r="A11" s="17" t="s">
        <v>10</v>
      </c>
      <c r="B11" s="18">
        <v>0.02</v>
      </c>
    </row>
    <row r="12" spans="1:4">
      <c r="A12" s="19" t="s">
        <v>11</v>
      </c>
      <c r="B12" s="20">
        <f>((1+B4+B5+B6)*(1+B8)*(1+B7))/(1-B9-B10-B11)-1</f>
        <v>0.25379310344827588</v>
      </c>
    </row>
    <row r="13" spans="1:4">
      <c r="A13" s="156" t="s">
        <v>12</v>
      </c>
    </row>
    <row r="14" spans="1:4">
      <c r="A14" s="22"/>
      <c r="B14" s="22"/>
    </row>
  </sheetData>
  <pageMargins left="0.51180555555555496" right="0.51180555555555496" top="0.78749999999999998" bottom="0.78749999999999998" header="0.51180555555555496" footer="0.51180555555555496"/>
  <pageSetup paperSize="9" firstPageNumber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467"/>
  <sheetViews>
    <sheetView zoomScale="120" zoomScaleNormal="120" workbookViewId="0">
      <selection activeCell="A2" sqref="A2:IV2"/>
    </sheetView>
  </sheetViews>
  <sheetFormatPr defaultColWidth="8.7109375" defaultRowHeight="15"/>
  <cols>
    <col min="1" max="1" width="5.140625" customWidth="1"/>
    <col min="2" max="2" width="46.7109375" customWidth="1"/>
    <col min="3" max="3" width="13.7109375" customWidth="1"/>
    <col min="4" max="4" width="14.7109375" customWidth="1"/>
    <col min="5" max="5" width="8.7109375" style="156"/>
  </cols>
  <sheetData>
    <row r="1" spans="1:6" s="23" customFormat="1" ht="18" customHeight="1">
      <c r="A1" s="652" t="s">
        <v>13</v>
      </c>
      <c r="B1" s="652"/>
      <c r="C1" s="652"/>
      <c r="D1" s="652"/>
      <c r="E1" s="156"/>
    </row>
    <row r="2" spans="1:6" s="23" customFormat="1" ht="18" customHeight="1">
      <c r="A2" s="652" t="s">
        <v>14</v>
      </c>
      <c r="B2" s="652"/>
      <c r="C2" s="652"/>
      <c r="D2" s="652"/>
      <c r="E2" s="192"/>
      <c r="F2" s="24"/>
    </row>
    <row r="3" spans="1:6">
      <c r="A3" s="21"/>
      <c r="B3" s="21"/>
      <c r="C3" s="21"/>
      <c r="D3" s="21"/>
    </row>
    <row r="4" spans="1:6" ht="13.9" customHeight="1">
      <c r="A4" s="653" t="s">
        <v>15</v>
      </c>
      <c r="B4" s="653"/>
      <c r="C4" s="654" t="s">
        <v>16</v>
      </c>
      <c r="D4" s="654"/>
    </row>
    <row r="5" spans="1:6">
      <c r="A5" s="655" t="s">
        <v>17</v>
      </c>
      <c r="B5" s="655"/>
      <c r="C5" s="655"/>
      <c r="D5" s="27" t="s">
        <v>18</v>
      </c>
    </row>
    <row r="6" spans="1:6" ht="13.9" customHeight="1">
      <c r="A6" s="656" t="s">
        <v>19</v>
      </c>
      <c r="B6" s="656"/>
      <c r="C6" s="656"/>
      <c r="D6" s="28" t="s">
        <v>20</v>
      </c>
    </row>
    <row r="7" spans="1:6">
      <c r="A7" s="655"/>
      <c r="B7" s="655"/>
      <c r="C7" s="655"/>
      <c r="D7" s="29"/>
    </row>
    <row r="8" spans="1:6" ht="13.9" customHeight="1">
      <c r="A8" s="654" t="s">
        <v>21</v>
      </c>
      <c r="B8" s="654"/>
      <c r="C8" s="654"/>
      <c r="D8" s="654"/>
    </row>
    <row r="9" spans="1:6" ht="13.9" customHeight="1">
      <c r="A9" s="657" t="s">
        <v>22</v>
      </c>
      <c r="B9" s="657"/>
      <c r="C9" s="657"/>
      <c r="D9" s="657"/>
    </row>
    <row r="10" spans="1:6">
      <c r="A10" s="30" t="s">
        <v>23</v>
      </c>
      <c r="B10" s="30" t="s">
        <v>24</v>
      </c>
      <c r="C10" s="31" t="s">
        <v>25</v>
      </c>
      <c r="D10" s="30" t="s">
        <v>26</v>
      </c>
    </row>
    <row r="11" spans="1:6">
      <c r="A11" s="27" t="s">
        <v>27</v>
      </c>
      <c r="B11" s="26" t="s">
        <v>28</v>
      </c>
      <c r="C11" s="32"/>
      <c r="D11" s="611">
        <v>1158</v>
      </c>
      <c r="E11" s="591"/>
    </row>
    <row r="12" spans="1:6">
      <c r="A12" s="27" t="s">
        <v>29</v>
      </c>
      <c r="B12" s="26" t="s">
        <v>30</v>
      </c>
      <c r="C12" s="34">
        <v>40</v>
      </c>
      <c r="D12" s="35">
        <f>0.4*D11</f>
        <v>463.20000000000005</v>
      </c>
    </row>
    <row r="13" spans="1:6">
      <c r="A13" s="27" t="s">
        <v>31</v>
      </c>
      <c r="B13" s="26" t="s">
        <v>32</v>
      </c>
      <c r="C13" s="34">
        <v>0</v>
      </c>
      <c r="D13" s="35">
        <v>0</v>
      </c>
    </row>
    <row r="14" spans="1:6">
      <c r="A14" s="27" t="s">
        <v>33</v>
      </c>
      <c r="B14" s="26" t="s">
        <v>34</v>
      </c>
      <c r="C14" s="34">
        <v>0</v>
      </c>
      <c r="D14" s="35">
        <v>0</v>
      </c>
    </row>
    <row r="15" spans="1:6">
      <c r="A15" s="27" t="s">
        <v>35</v>
      </c>
      <c r="B15" s="26" t="s">
        <v>36</v>
      </c>
      <c r="C15" s="34">
        <v>0</v>
      </c>
      <c r="D15" s="35">
        <v>0</v>
      </c>
    </row>
    <row r="16" spans="1:6">
      <c r="A16" s="27" t="s">
        <v>37</v>
      </c>
      <c r="B16" s="26" t="s">
        <v>38</v>
      </c>
      <c r="C16" s="34">
        <v>0</v>
      </c>
      <c r="D16" s="35">
        <v>0</v>
      </c>
    </row>
    <row r="17" spans="1:4">
      <c r="A17" s="27" t="s">
        <v>39</v>
      </c>
      <c r="B17" s="26" t="s">
        <v>40</v>
      </c>
      <c r="C17" s="34">
        <v>0</v>
      </c>
      <c r="D17" s="35">
        <v>0</v>
      </c>
    </row>
    <row r="18" spans="1:4">
      <c r="A18" s="27" t="s">
        <v>41</v>
      </c>
      <c r="B18" s="26" t="s">
        <v>42</v>
      </c>
      <c r="C18" s="34">
        <v>0</v>
      </c>
      <c r="D18" s="35">
        <v>0</v>
      </c>
    </row>
    <row r="19" spans="1:4">
      <c r="A19" s="27" t="s">
        <v>43</v>
      </c>
      <c r="B19" s="26" t="s">
        <v>44</v>
      </c>
      <c r="C19" s="34">
        <v>0</v>
      </c>
      <c r="D19" s="35">
        <v>0</v>
      </c>
    </row>
    <row r="20" spans="1:4">
      <c r="A20" s="658" t="s">
        <v>45</v>
      </c>
      <c r="B20" s="658"/>
      <c r="C20" s="32"/>
      <c r="D20" s="33">
        <f>SUM(D11:D19)</f>
        <v>1621.2</v>
      </c>
    </row>
    <row r="21" spans="1:4">
      <c r="A21" s="659"/>
      <c r="B21" s="659"/>
      <c r="C21" s="659"/>
      <c r="D21" s="659"/>
    </row>
    <row r="22" spans="1:4" ht="13.9" customHeight="1">
      <c r="A22" s="657" t="s">
        <v>46</v>
      </c>
      <c r="B22" s="657"/>
      <c r="C22" s="657"/>
      <c r="D22" s="657"/>
    </row>
    <row r="23" spans="1:4" ht="13.9" customHeight="1">
      <c r="A23" s="654" t="s">
        <v>47</v>
      </c>
      <c r="B23" s="654"/>
      <c r="C23" s="654"/>
      <c r="D23" s="654"/>
    </row>
    <row r="24" spans="1:4">
      <c r="A24" s="30" t="s">
        <v>23</v>
      </c>
      <c r="B24" s="38" t="s">
        <v>48</v>
      </c>
      <c r="C24" s="31" t="s">
        <v>25</v>
      </c>
      <c r="D24" s="30" t="s">
        <v>26</v>
      </c>
    </row>
    <row r="25" spans="1:4">
      <c r="A25" s="27" t="s">
        <v>49</v>
      </c>
      <c r="B25" s="39" t="s">
        <v>50</v>
      </c>
      <c r="C25" s="40">
        <v>0</v>
      </c>
      <c r="D25" s="41">
        <f t="shared" ref="D25:D33" si="0">C25/100*$D$20</f>
        <v>0</v>
      </c>
    </row>
    <row r="26" spans="1:4">
      <c r="A26" s="27" t="s">
        <v>51</v>
      </c>
      <c r="B26" s="39" t="s">
        <v>52</v>
      </c>
      <c r="C26" s="40">
        <v>1.5</v>
      </c>
      <c r="D26" s="41">
        <f t="shared" si="0"/>
        <v>24.318000000000001</v>
      </c>
    </row>
    <row r="27" spans="1:4">
      <c r="A27" s="27" t="s">
        <v>53</v>
      </c>
      <c r="B27" s="39" t="s">
        <v>54</v>
      </c>
      <c r="C27" s="40">
        <v>1</v>
      </c>
      <c r="D27" s="41">
        <f t="shared" si="0"/>
        <v>16.212</v>
      </c>
    </row>
    <row r="28" spans="1:4">
      <c r="A28" s="27" t="s">
        <v>55</v>
      </c>
      <c r="B28" s="39" t="s">
        <v>56</v>
      </c>
      <c r="C28" s="40">
        <v>0.2</v>
      </c>
      <c r="D28" s="41">
        <f t="shared" si="0"/>
        <v>3.2423999999999999</v>
      </c>
    </row>
    <row r="29" spans="1:4">
      <c r="A29" s="27" t="s">
        <v>57</v>
      </c>
      <c r="B29" s="39" t="s">
        <v>58</v>
      </c>
      <c r="C29" s="40">
        <v>0.6</v>
      </c>
      <c r="D29" s="41">
        <f t="shared" si="0"/>
        <v>9.7271999999999998</v>
      </c>
    </row>
    <row r="30" spans="1:4">
      <c r="A30" s="27" t="s">
        <v>59</v>
      </c>
      <c r="B30" s="39" t="s">
        <v>60</v>
      </c>
      <c r="C30" s="40">
        <v>2.5</v>
      </c>
      <c r="D30" s="41">
        <f t="shared" si="0"/>
        <v>40.53</v>
      </c>
    </row>
    <row r="31" spans="1:4">
      <c r="A31" s="27" t="s">
        <v>61</v>
      </c>
      <c r="B31" s="39" t="s">
        <v>62</v>
      </c>
      <c r="C31" s="40">
        <v>3</v>
      </c>
      <c r="D31" s="41">
        <f t="shared" si="0"/>
        <v>48.636000000000003</v>
      </c>
    </row>
    <row r="32" spans="1:4">
      <c r="A32" s="27" t="s">
        <v>63</v>
      </c>
      <c r="B32" s="39" t="s">
        <v>64</v>
      </c>
      <c r="C32" s="40">
        <v>8</v>
      </c>
      <c r="D32" s="41">
        <f t="shared" si="0"/>
        <v>129.696</v>
      </c>
    </row>
    <row r="33" spans="1:4">
      <c r="A33" s="27" t="s">
        <v>65</v>
      </c>
      <c r="B33" s="39" t="s">
        <v>66</v>
      </c>
      <c r="C33" s="40">
        <v>1</v>
      </c>
      <c r="D33" s="41">
        <f t="shared" si="0"/>
        <v>16.212</v>
      </c>
    </row>
    <row r="34" spans="1:4">
      <c r="A34" s="27"/>
      <c r="B34" s="42" t="s">
        <v>67</v>
      </c>
      <c r="C34" s="43">
        <f>SUM(C25:C33)</f>
        <v>17.8</v>
      </c>
      <c r="D34" s="44">
        <f>SUM(D25:D33)</f>
        <v>288.5736</v>
      </c>
    </row>
    <row r="35" spans="1:4">
      <c r="A35" s="660" t="s">
        <v>68</v>
      </c>
      <c r="B35" s="660"/>
      <c r="C35" s="660"/>
      <c r="D35" s="660"/>
    </row>
    <row r="36" spans="1:4">
      <c r="A36" s="30" t="s">
        <v>23</v>
      </c>
      <c r="B36" s="38" t="s">
        <v>48</v>
      </c>
      <c r="C36" s="31" t="s">
        <v>25</v>
      </c>
      <c r="D36" s="30" t="s">
        <v>26</v>
      </c>
    </row>
    <row r="37" spans="1:4">
      <c r="A37" s="27" t="s">
        <v>65</v>
      </c>
      <c r="B37" s="26" t="s">
        <v>69</v>
      </c>
      <c r="C37" s="46">
        <v>17.88</v>
      </c>
      <c r="D37" s="47">
        <f t="shared" ref="D37:D46" si="1">C37/100*$D$20</f>
        <v>289.87056000000001</v>
      </c>
    </row>
    <row r="38" spans="1:4">
      <c r="A38" s="27" t="s">
        <v>70</v>
      </c>
      <c r="B38" s="48" t="s">
        <v>71</v>
      </c>
      <c r="C38" s="46">
        <v>3.69</v>
      </c>
      <c r="D38" s="47">
        <f t="shared" si="1"/>
        <v>59.822280000000006</v>
      </c>
    </row>
    <row r="39" spans="1:4">
      <c r="A39" s="27" t="s">
        <v>72</v>
      </c>
      <c r="B39" s="48" t="s">
        <v>73</v>
      </c>
      <c r="C39" s="46">
        <v>0.89</v>
      </c>
      <c r="D39" s="47">
        <f t="shared" si="1"/>
        <v>14.42868</v>
      </c>
    </row>
    <row r="40" spans="1:4">
      <c r="A40" s="27" t="s">
        <v>74</v>
      </c>
      <c r="B40" s="48" t="s">
        <v>75</v>
      </c>
      <c r="C40" s="46">
        <v>10.74</v>
      </c>
      <c r="D40" s="47">
        <f t="shared" si="1"/>
        <v>174.11688000000001</v>
      </c>
    </row>
    <row r="41" spans="1:4">
      <c r="A41" s="27" t="s">
        <v>76</v>
      </c>
      <c r="B41" s="48" t="s">
        <v>77</v>
      </c>
      <c r="C41" s="46">
        <v>7.0000000000000007E-2</v>
      </c>
      <c r="D41" s="47">
        <f t="shared" si="1"/>
        <v>1.1348400000000003</v>
      </c>
    </row>
    <row r="42" spans="1:4">
      <c r="A42" s="27" t="s">
        <v>78</v>
      </c>
      <c r="B42" s="48" t="s">
        <v>79</v>
      </c>
      <c r="C42" s="46">
        <v>0.72</v>
      </c>
      <c r="D42" s="47">
        <f t="shared" si="1"/>
        <v>11.672639999999999</v>
      </c>
    </row>
    <row r="43" spans="1:4">
      <c r="A43" s="27" t="s">
        <v>80</v>
      </c>
      <c r="B43" s="48" t="s">
        <v>81</v>
      </c>
      <c r="C43" s="46">
        <v>1.77</v>
      </c>
      <c r="D43" s="47">
        <f t="shared" si="1"/>
        <v>28.695240000000002</v>
      </c>
    </row>
    <row r="44" spans="1:4">
      <c r="A44" s="27" t="s">
        <v>82</v>
      </c>
      <c r="B44" s="48" t="s">
        <v>83</v>
      </c>
      <c r="C44" s="46">
        <v>0.11</v>
      </c>
      <c r="D44" s="47">
        <f t="shared" si="1"/>
        <v>1.7833200000000002</v>
      </c>
    </row>
    <row r="45" spans="1:4">
      <c r="A45" s="27" t="s">
        <v>84</v>
      </c>
      <c r="B45" s="48" t="s">
        <v>85</v>
      </c>
      <c r="C45" s="46">
        <v>7.52</v>
      </c>
      <c r="D45" s="47">
        <f t="shared" si="1"/>
        <v>121.91423999999999</v>
      </c>
    </row>
    <row r="46" spans="1:4">
      <c r="A46" s="27" t="s">
        <v>86</v>
      </c>
      <c r="B46" s="48" t="s">
        <v>87</v>
      </c>
      <c r="C46" s="46">
        <v>0.03</v>
      </c>
      <c r="D46" s="47">
        <f t="shared" si="1"/>
        <v>0.48635999999999996</v>
      </c>
    </row>
    <row r="47" spans="1:4">
      <c r="A47" s="27"/>
      <c r="B47" s="36" t="s">
        <v>88</v>
      </c>
      <c r="C47" s="43">
        <f>SUM(C37:C46)</f>
        <v>43.42</v>
      </c>
      <c r="D47" s="49">
        <f>SUM(D37:D46)</f>
        <v>703.92504000000008</v>
      </c>
    </row>
    <row r="48" spans="1:4">
      <c r="A48" s="660" t="s">
        <v>89</v>
      </c>
      <c r="B48" s="660"/>
      <c r="C48" s="660"/>
      <c r="D48" s="660"/>
    </row>
    <row r="49" spans="1:4">
      <c r="A49" s="50" t="s">
        <v>23</v>
      </c>
      <c r="B49" s="51" t="s">
        <v>48</v>
      </c>
      <c r="C49" s="52" t="s">
        <v>25</v>
      </c>
      <c r="D49" s="50" t="s">
        <v>26</v>
      </c>
    </row>
    <row r="50" spans="1:4">
      <c r="A50" s="50" t="s">
        <v>82</v>
      </c>
      <c r="B50" s="53" t="s">
        <v>90</v>
      </c>
      <c r="C50" s="54">
        <v>4.53</v>
      </c>
      <c r="D50" s="55">
        <f>C50/100*$D$20</f>
        <v>73.440359999999998</v>
      </c>
    </row>
    <row r="51" spans="1:4">
      <c r="A51" s="50" t="s">
        <v>84</v>
      </c>
      <c r="B51" s="48" t="s">
        <v>91</v>
      </c>
      <c r="C51" s="54">
        <v>0.11</v>
      </c>
      <c r="D51" s="55">
        <f>C51/100*$D$20</f>
        <v>1.7833200000000002</v>
      </c>
    </row>
    <row r="52" spans="1:4">
      <c r="A52" s="50" t="s">
        <v>86</v>
      </c>
      <c r="B52" s="48" t="s">
        <v>92</v>
      </c>
      <c r="C52" s="54">
        <v>5.59</v>
      </c>
      <c r="D52" s="55">
        <f>C52/100*$D$20</f>
        <v>90.625079999999997</v>
      </c>
    </row>
    <row r="53" spans="1:4">
      <c r="A53" s="50" t="s">
        <v>93</v>
      </c>
      <c r="B53" s="48" t="s">
        <v>94</v>
      </c>
      <c r="C53" s="56">
        <v>4.71</v>
      </c>
      <c r="D53" s="55">
        <f>C53/100*$D$20</f>
        <v>76.358520000000013</v>
      </c>
    </row>
    <row r="54" spans="1:4">
      <c r="A54" s="50" t="s">
        <v>95</v>
      </c>
      <c r="B54" s="48" t="s">
        <v>96</v>
      </c>
      <c r="C54" s="56">
        <v>0.38</v>
      </c>
      <c r="D54" s="55">
        <f>C54/100*$D$20</f>
        <v>6.1605600000000003</v>
      </c>
    </row>
    <row r="55" spans="1:4">
      <c r="A55" s="54"/>
      <c r="B55" s="57" t="s">
        <v>97</v>
      </c>
      <c r="C55" s="58">
        <f>SUM(C50:C54)</f>
        <v>15.320000000000002</v>
      </c>
      <c r="D55" s="59">
        <f>C55/100*D20</f>
        <v>248.36784000000006</v>
      </c>
    </row>
    <row r="56" spans="1:4">
      <c r="A56" s="661" t="s">
        <v>98</v>
      </c>
      <c r="B56" s="661"/>
      <c r="C56" s="661"/>
      <c r="D56" s="661"/>
    </row>
    <row r="57" spans="1:4">
      <c r="A57" s="50" t="s">
        <v>23</v>
      </c>
      <c r="B57" s="51" t="s">
        <v>48</v>
      </c>
      <c r="C57" s="52" t="s">
        <v>25</v>
      </c>
      <c r="D57" s="50" t="s">
        <v>26</v>
      </c>
    </row>
    <row r="58" spans="1:4">
      <c r="A58" s="50"/>
      <c r="B58" s="60" t="s">
        <v>99</v>
      </c>
      <c r="C58" s="52">
        <v>7.73</v>
      </c>
      <c r="D58" s="61">
        <f>C58/100*$D$20</f>
        <v>125.31876000000001</v>
      </c>
    </row>
    <row r="59" spans="1:4" ht="23.25">
      <c r="A59" s="62" t="s">
        <v>100</v>
      </c>
      <c r="B59" s="63" t="s">
        <v>101</v>
      </c>
      <c r="C59" s="56">
        <v>0.38</v>
      </c>
      <c r="D59" s="61">
        <f>C59/100*$D$20</f>
        <v>6.1605600000000003</v>
      </c>
    </row>
    <row r="60" spans="1:4">
      <c r="A60" s="62"/>
      <c r="B60" s="57" t="s">
        <v>102</v>
      </c>
      <c r="C60" s="58">
        <f>SUM(C58:C59)</f>
        <v>8.1100000000000012</v>
      </c>
      <c r="D60" s="64">
        <f>SUM(D58:D59)</f>
        <v>131.47932</v>
      </c>
    </row>
    <row r="61" spans="1:4">
      <c r="A61" s="62"/>
      <c r="B61" s="53" t="s">
        <v>103</v>
      </c>
      <c r="C61" s="65">
        <f>C34+C47+C55+C60</f>
        <v>84.65</v>
      </c>
      <c r="D61" s="66">
        <f>D34+D47+D55+D60</f>
        <v>1372.3458000000001</v>
      </c>
    </row>
    <row r="62" spans="1:4">
      <c r="A62" s="62"/>
      <c r="B62" s="67" t="s">
        <v>104</v>
      </c>
      <c r="C62" s="68"/>
      <c r="D62" s="69">
        <f>D20+D61</f>
        <v>2993.5457999999999</v>
      </c>
    </row>
    <row r="63" spans="1:4">
      <c r="A63" s="70"/>
      <c r="B63" s="21"/>
      <c r="C63" s="21"/>
      <c r="D63" s="21"/>
    </row>
    <row r="64" spans="1:4">
      <c r="A64" s="660" t="s">
        <v>105</v>
      </c>
      <c r="B64" s="660"/>
      <c r="C64" s="660"/>
      <c r="D64" s="660"/>
    </row>
    <row r="65" spans="1:4" ht="22.5">
      <c r="A65" s="30" t="s">
        <v>23</v>
      </c>
      <c r="B65" s="71" t="s">
        <v>106</v>
      </c>
      <c r="C65" s="72" t="s">
        <v>107</v>
      </c>
      <c r="D65" s="30" t="s">
        <v>26</v>
      </c>
    </row>
    <row r="66" spans="1:4" ht="23.1" customHeight="1">
      <c r="A66" s="27">
        <v>1</v>
      </c>
      <c r="B66" s="37" t="s">
        <v>108</v>
      </c>
      <c r="C66" s="46">
        <f>D66/D20*100</f>
        <v>1.8504811250925239</v>
      </c>
      <c r="D66" s="35">
        <f>(6*60)/12</f>
        <v>30</v>
      </c>
    </row>
    <row r="67" spans="1:4">
      <c r="A67" s="27">
        <v>2</v>
      </c>
      <c r="B67" s="37" t="s">
        <v>109</v>
      </c>
      <c r="C67" s="46">
        <f>D67/D20*100</f>
        <v>2.4786166625544857</v>
      </c>
      <c r="D67" s="35">
        <f>D68+D69+D70+D71</f>
        <v>40.183333333333323</v>
      </c>
    </row>
    <row r="68" spans="1:4" ht="23.1" customHeight="1">
      <c r="A68" s="27" t="s">
        <v>49</v>
      </c>
      <c r="B68" s="73" t="s">
        <v>110</v>
      </c>
      <c r="C68" s="46"/>
      <c r="D68" s="74">
        <f>(6*51.8)/12</f>
        <v>25.899999999999995</v>
      </c>
    </row>
    <row r="69" spans="1:4" ht="23.1" customHeight="1">
      <c r="A69" s="27" t="s">
        <v>51</v>
      </c>
      <c r="B69" s="73" t="s">
        <v>111</v>
      </c>
      <c r="C69" s="46"/>
      <c r="D69" s="74">
        <f>(2*16.5)/12</f>
        <v>2.75</v>
      </c>
    </row>
    <row r="70" spans="1:4" ht="15" customHeight="1">
      <c r="A70" s="27" t="s">
        <v>53</v>
      </c>
      <c r="B70" s="73" t="s">
        <v>112</v>
      </c>
      <c r="C70" s="46"/>
      <c r="D70" s="74">
        <f>(2*8)/12</f>
        <v>1.3333333333333333</v>
      </c>
    </row>
    <row r="71" spans="1:4" ht="23.1" customHeight="1">
      <c r="A71" s="27" t="s">
        <v>55</v>
      </c>
      <c r="B71" s="73" t="s">
        <v>113</v>
      </c>
      <c r="C71" s="46"/>
      <c r="D71" s="74">
        <f>(24*5.1)/12</f>
        <v>10.199999999999999</v>
      </c>
    </row>
    <row r="72" spans="1:4">
      <c r="A72" s="27">
        <v>3</v>
      </c>
      <c r="B72" s="26" t="s">
        <v>114</v>
      </c>
      <c r="C72" s="75">
        <f>D72/D20*100</f>
        <v>3.85640266469282</v>
      </c>
      <c r="D72" s="76">
        <f>132-0.06*D11</f>
        <v>62.519999999999996</v>
      </c>
    </row>
    <row r="73" spans="1:4">
      <c r="A73" s="27">
        <v>4</v>
      </c>
      <c r="B73" s="26" t="s">
        <v>115</v>
      </c>
      <c r="C73" s="77">
        <f>D73/D20*100</f>
        <v>15.592153960029606</v>
      </c>
      <c r="D73" s="47">
        <v>252.78</v>
      </c>
    </row>
    <row r="74" spans="1:4">
      <c r="A74" s="27">
        <v>5</v>
      </c>
      <c r="B74" s="26" t="s">
        <v>116</v>
      </c>
      <c r="C74" s="77">
        <v>0</v>
      </c>
      <c r="D74" s="47">
        <v>0</v>
      </c>
    </row>
    <row r="75" spans="1:4">
      <c r="A75" s="27">
        <v>6</v>
      </c>
      <c r="B75" s="26" t="s">
        <v>117</v>
      </c>
      <c r="C75" s="77">
        <v>0.5</v>
      </c>
      <c r="D75" s="47">
        <f>C75/100*D20</f>
        <v>8.1059999999999999</v>
      </c>
    </row>
    <row r="76" spans="1:4">
      <c r="A76" s="27">
        <v>7</v>
      </c>
      <c r="B76" s="26" t="s">
        <v>118</v>
      </c>
      <c r="C76" s="77">
        <v>0</v>
      </c>
      <c r="D76" s="47">
        <f>C76/100*D20</f>
        <v>0</v>
      </c>
    </row>
    <row r="77" spans="1:4">
      <c r="A77" s="27">
        <v>8</v>
      </c>
      <c r="B77" s="26" t="s">
        <v>119</v>
      </c>
      <c r="C77" s="77">
        <v>0.25</v>
      </c>
      <c r="D77" s="47">
        <f>C77*D20/100</f>
        <v>4.0529999999999999</v>
      </c>
    </row>
    <row r="78" spans="1:4">
      <c r="A78" s="27">
        <v>9</v>
      </c>
      <c r="B78" s="26" t="s">
        <v>120</v>
      </c>
      <c r="C78" s="77">
        <f>D78/D20*100</f>
        <v>0.30303030303030304</v>
      </c>
      <c r="D78" s="47">
        <f>(D20/220)*8/12</f>
        <v>4.9127272727272731</v>
      </c>
    </row>
    <row r="79" spans="1:4">
      <c r="A79" s="27">
        <v>10</v>
      </c>
      <c r="B79" s="26" t="s">
        <v>121</v>
      </c>
      <c r="C79" s="77">
        <v>1</v>
      </c>
      <c r="D79" s="47">
        <f>D11*0.01</f>
        <v>11.58</v>
      </c>
    </row>
    <row r="80" spans="1:4">
      <c r="A80" s="27"/>
      <c r="B80" s="78" t="s">
        <v>122</v>
      </c>
      <c r="C80" s="79">
        <f>SUM(C66:C79)</f>
        <v>25.830684715399741</v>
      </c>
      <c r="D80" s="80">
        <f>D66+D67+D72+D73+D74+D75+D76+D77+D78+D79</f>
        <v>414.13506060606062</v>
      </c>
    </row>
    <row r="81" spans="1:5">
      <c r="A81" s="81"/>
      <c r="B81" s="21"/>
      <c r="C81" s="21"/>
      <c r="D81" s="82"/>
    </row>
    <row r="82" spans="1:5">
      <c r="A82" s="81"/>
      <c r="B82" s="83" t="s">
        <v>123</v>
      </c>
      <c r="C82" s="83"/>
      <c r="D82" s="21"/>
    </row>
    <row r="83" spans="1:5">
      <c r="A83" s="84"/>
      <c r="B83" s="85" t="s">
        <v>124</v>
      </c>
      <c r="C83" s="86">
        <f>(D62+D80)*(1+BDI!$B$12)</f>
        <v>4272.5267617805639</v>
      </c>
      <c r="D83" s="87"/>
    </row>
    <row r="84" spans="1:5" s="193" customFormat="1">
      <c r="A84" s="84"/>
      <c r="B84" s="115"/>
      <c r="C84" s="612"/>
      <c r="D84" s="610"/>
      <c r="E84" s="156"/>
    </row>
    <row r="85" spans="1:5">
      <c r="A85" s="70"/>
      <c r="B85" s="21"/>
      <c r="C85" s="21"/>
      <c r="D85" s="21"/>
    </row>
    <row r="86" spans="1:5" ht="13.9" customHeight="1">
      <c r="A86" s="653" t="s">
        <v>15</v>
      </c>
      <c r="B86" s="653"/>
      <c r="C86" s="654" t="s">
        <v>125</v>
      </c>
      <c r="D86" s="654"/>
    </row>
    <row r="87" spans="1:5">
      <c r="A87" s="655" t="s">
        <v>17</v>
      </c>
      <c r="B87" s="655"/>
      <c r="C87" s="655"/>
      <c r="D87" s="27" t="s">
        <v>18</v>
      </c>
    </row>
    <row r="88" spans="1:5" ht="13.9" customHeight="1">
      <c r="A88" s="656" t="s">
        <v>19</v>
      </c>
      <c r="B88" s="656"/>
      <c r="C88" s="656"/>
      <c r="D88" s="28" t="s">
        <v>20</v>
      </c>
    </row>
    <row r="89" spans="1:5">
      <c r="A89" s="655"/>
      <c r="B89" s="655"/>
      <c r="C89" s="655"/>
      <c r="D89" s="29"/>
    </row>
    <row r="90" spans="1:5" ht="13.9" customHeight="1">
      <c r="A90" s="654" t="s">
        <v>21</v>
      </c>
      <c r="B90" s="654"/>
      <c r="C90" s="654"/>
      <c r="D90" s="654"/>
    </row>
    <row r="91" spans="1:5" ht="13.9" customHeight="1">
      <c r="A91" s="657" t="s">
        <v>22</v>
      </c>
      <c r="B91" s="657"/>
      <c r="C91" s="657"/>
      <c r="D91" s="657"/>
    </row>
    <row r="92" spans="1:5">
      <c r="A92" s="30" t="s">
        <v>23</v>
      </c>
      <c r="B92" s="30" t="s">
        <v>24</v>
      </c>
      <c r="C92" s="31" t="s">
        <v>25</v>
      </c>
      <c r="D92" s="30" t="s">
        <v>26</v>
      </c>
    </row>
    <row r="93" spans="1:5">
      <c r="A93" s="26" t="s">
        <v>27</v>
      </c>
      <c r="B93" s="580" t="s">
        <v>28</v>
      </c>
      <c r="C93" s="32"/>
      <c r="D93" s="611">
        <v>2162</v>
      </c>
      <c r="E93" s="613"/>
    </row>
    <row r="94" spans="1:5">
      <c r="A94" s="26" t="s">
        <v>29</v>
      </c>
      <c r="B94" s="26" t="s">
        <v>30</v>
      </c>
      <c r="C94" s="34">
        <v>40</v>
      </c>
      <c r="D94" s="35">
        <f>0.4*D93</f>
        <v>864.80000000000007</v>
      </c>
    </row>
    <row r="95" spans="1:5">
      <c r="A95" s="26" t="s">
        <v>31</v>
      </c>
      <c r="B95" s="26" t="s">
        <v>32</v>
      </c>
      <c r="C95" s="34">
        <v>0</v>
      </c>
      <c r="D95" s="35">
        <v>0</v>
      </c>
    </row>
    <row r="96" spans="1:5">
      <c r="A96" s="26" t="s">
        <v>33</v>
      </c>
      <c r="B96" s="26" t="s">
        <v>34</v>
      </c>
      <c r="C96" s="34">
        <v>0</v>
      </c>
      <c r="D96" s="35">
        <v>0</v>
      </c>
    </row>
    <row r="97" spans="1:4">
      <c r="A97" s="26" t="s">
        <v>35</v>
      </c>
      <c r="B97" s="26" t="s">
        <v>36</v>
      </c>
      <c r="C97" s="34">
        <v>0</v>
      </c>
      <c r="D97" s="35">
        <v>0</v>
      </c>
    </row>
    <row r="98" spans="1:4">
      <c r="A98" s="26" t="s">
        <v>37</v>
      </c>
      <c r="B98" s="26" t="s">
        <v>38</v>
      </c>
      <c r="C98" s="34">
        <v>0</v>
      </c>
      <c r="D98" s="35">
        <v>0</v>
      </c>
    </row>
    <row r="99" spans="1:4">
      <c r="A99" s="26" t="s">
        <v>39</v>
      </c>
      <c r="B99" s="26" t="s">
        <v>40</v>
      </c>
      <c r="C99" s="34">
        <v>0</v>
      </c>
      <c r="D99" s="35">
        <v>0</v>
      </c>
    </row>
    <row r="100" spans="1:4">
      <c r="A100" s="26" t="s">
        <v>41</v>
      </c>
      <c r="B100" s="26" t="s">
        <v>42</v>
      </c>
      <c r="C100" s="34">
        <v>0</v>
      </c>
      <c r="D100" s="35">
        <v>0</v>
      </c>
    </row>
    <row r="101" spans="1:4">
      <c r="A101" s="26" t="s">
        <v>43</v>
      </c>
      <c r="B101" s="26" t="s">
        <v>44</v>
      </c>
      <c r="C101" s="34">
        <v>0</v>
      </c>
      <c r="D101" s="35">
        <v>0</v>
      </c>
    </row>
    <row r="102" spans="1:4">
      <c r="A102" s="658" t="s">
        <v>45</v>
      </c>
      <c r="B102" s="658"/>
      <c r="C102" s="32"/>
      <c r="D102" s="33">
        <f>SUM(D93:D101)</f>
        <v>3026.8</v>
      </c>
    </row>
    <row r="103" spans="1:4">
      <c r="A103" s="659"/>
      <c r="B103" s="659"/>
      <c r="C103" s="659"/>
      <c r="D103" s="659"/>
    </row>
    <row r="104" spans="1:4" ht="13.9" customHeight="1">
      <c r="A104" s="657" t="s">
        <v>46</v>
      </c>
      <c r="B104" s="657"/>
      <c r="C104" s="657"/>
      <c r="D104" s="657"/>
    </row>
    <row r="105" spans="1:4" ht="13.9" customHeight="1">
      <c r="A105" s="654" t="s">
        <v>47</v>
      </c>
      <c r="B105" s="654"/>
      <c r="C105" s="654"/>
      <c r="D105" s="654"/>
    </row>
    <row r="106" spans="1:4">
      <c r="A106" s="30" t="s">
        <v>23</v>
      </c>
      <c r="B106" s="38" t="s">
        <v>48</v>
      </c>
      <c r="C106" s="31" t="s">
        <v>25</v>
      </c>
      <c r="D106" s="30" t="s">
        <v>26</v>
      </c>
    </row>
    <row r="107" spans="1:4">
      <c r="A107" s="27" t="s">
        <v>49</v>
      </c>
      <c r="B107" s="39" t="s">
        <v>50</v>
      </c>
      <c r="C107" s="40">
        <v>0</v>
      </c>
      <c r="D107" s="41">
        <f t="shared" ref="D107:D115" si="2">C107/100*$D$102</f>
        <v>0</v>
      </c>
    </row>
    <row r="108" spans="1:4">
      <c r="A108" s="27" t="s">
        <v>51</v>
      </c>
      <c r="B108" s="39" t="s">
        <v>52</v>
      </c>
      <c r="C108" s="40">
        <v>1.5</v>
      </c>
      <c r="D108" s="41">
        <f t="shared" si="2"/>
        <v>45.402000000000001</v>
      </c>
    </row>
    <row r="109" spans="1:4">
      <c r="A109" s="27" t="s">
        <v>53</v>
      </c>
      <c r="B109" s="39" t="s">
        <v>54</v>
      </c>
      <c r="C109" s="40">
        <v>1</v>
      </c>
      <c r="D109" s="41">
        <f t="shared" si="2"/>
        <v>30.268000000000001</v>
      </c>
    </row>
    <row r="110" spans="1:4">
      <c r="A110" s="27" t="s">
        <v>55</v>
      </c>
      <c r="B110" s="39" t="s">
        <v>56</v>
      </c>
      <c r="C110" s="40">
        <v>0.2</v>
      </c>
      <c r="D110" s="41">
        <f t="shared" si="2"/>
        <v>6.0536000000000003</v>
      </c>
    </row>
    <row r="111" spans="1:4">
      <c r="A111" s="27" t="s">
        <v>57</v>
      </c>
      <c r="B111" s="39" t="s">
        <v>58</v>
      </c>
      <c r="C111" s="40">
        <v>0.6</v>
      </c>
      <c r="D111" s="41">
        <f t="shared" si="2"/>
        <v>18.160800000000002</v>
      </c>
    </row>
    <row r="112" spans="1:4">
      <c r="A112" s="27" t="s">
        <v>59</v>
      </c>
      <c r="B112" s="39" t="s">
        <v>60</v>
      </c>
      <c r="C112" s="40">
        <v>2.5</v>
      </c>
      <c r="D112" s="41">
        <f t="shared" si="2"/>
        <v>75.67</v>
      </c>
    </row>
    <row r="113" spans="1:4">
      <c r="A113" s="27" t="s">
        <v>61</v>
      </c>
      <c r="B113" s="39" t="s">
        <v>62</v>
      </c>
      <c r="C113" s="40">
        <v>3</v>
      </c>
      <c r="D113" s="41">
        <f t="shared" si="2"/>
        <v>90.804000000000002</v>
      </c>
    </row>
    <row r="114" spans="1:4">
      <c r="A114" s="27" t="s">
        <v>63</v>
      </c>
      <c r="B114" s="39" t="s">
        <v>64</v>
      </c>
      <c r="C114" s="40">
        <v>8</v>
      </c>
      <c r="D114" s="41">
        <f t="shared" si="2"/>
        <v>242.14400000000001</v>
      </c>
    </row>
    <row r="115" spans="1:4">
      <c r="A115" s="27" t="s">
        <v>65</v>
      </c>
      <c r="B115" s="39" t="s">
        <v>66</v>
      </c>
      <c r="C115" s="40">
        <v>1</v>
      </c>
      <c r="D115" s="41">
        <f t="shared" si="2"/>
        <v>30.268000000000001</v>
      </c>
    </row>
    <row r="116" spans="1:4">
      <c r="A116" s="27"/>
      <c r="B116" s="42" t="s">
        <v>67</v>
      </c>
      <c r="C116" s="43">
        <f>SUM(C107:C115)</f>
        <v>17.8</v>
      </c>
      <c r="D116" s="44">
        <f>SUM(D107:D115)</f>
        <v>538.7704</v>
      </c>
    </row>
    <row r="117" spans="1:4">
      <c r="A117" s="660" t="s">
        <v>68</v>
      </c>
      <c r="B117" s="660"/>
      <c r="C117" s="660"/>
      <c r="D117" s="660"/>
    </row>
    <row r="118" spans="1:4">
      <c r="A118" s="30" t="s">
        <v>23</v>
      </c>
      <c r="B118" s="38" t="s">
        <v>48</v>
      </c>
      <c r="C118" s="31" t="s">
        <v>25</v>
      </c>
      <c r="D118" s="30" t="s">
        <v>26</v>
      </c>
    </row>
    <row r="119" spans="1:4">
      <c r="A119" s="27" t="s">
        <v>65</v>
      </c>
      <c r="B119" s="26" t="s">
        <v>69</v>
      </c>
      <c r="C119" s="46">
        <v>17.88</v>
      </c>
      <c r="D119" s="41">
        <f t="shared" ref="D119:D128" si="3">C119/100*$D$102</f>
        <v>541.19183999999996</v>
      </c>
    </row>
    <row r="120" spans="1:4">
      <c r="A120" s="27" t="s">
        <v>70</v>
      </c>
      <c r="B120" s="48" t="s">
        <v>71</v>
      </c>
      <c r="C120" s="46">
        <v>3.69</v>
      </c>
      <c r="D120" s="41">
        <f t="shared" si="3"/>
        <v>111.68892000000001</v>
      </c>
    </row>
    <row r="121" spans="1:4">
      <c r="A121" s="27" t="s">
        <v>72</v>
      </c>
      <c r="B121" s="48" t="s">
        <v>73</v>
      </c>
      <c r="C121" s="46">
        <v>0.89</v>
      </c>
      <c r="D121" s="41">
        <f t="shared" si="3"/>
        <v>26.93852</v>
      </c>
    </row>
    <row r="122" spans="1:4">
      <c r="A122" s="27" t="s">
        <v>74</v>
      </c>
      <c r="B122" s="48" t="s">
        <v>75</v>
      </c>
      <c r="C122" s="46">
        <v>10.74</v>
      </c>
      <c r="D122" s="41">
        <f t="shared" si="3"/>
        <v>325.07832000000002</v>
      </c>
    </row>
    <row r="123" spans="1:4">
      <c r="A123" s="27" t="s">
        <v>76</v>
      </c>
      <c r="B123" s="48" t="s">
        <v>77</v>
      </c>
      <c r="C123" s="46">
        <v>7.0000000000000007E-2</v>
      </c>
      <c r="D123" s="41">
        <f t="shared" si="3"/>
        <v>2.1187600000000004</v>
      </c>
    </row>
    <row r="124" spans="1:4">
      <c r="A124" s="27" t="s">
        <v>78</v>
      </c>
      <c r="B124" s="48" t="s">
        <v>79</v>
      </c>
      <c r="C124" s="46">
        <v>0.72</v>
      </c>
      <c r="D124" s="41">
        <f t="shared" si="3"/>
        <v>21.792960000000001</v>
      </c>
    </row>
    <row r="125" spans="1:4">
      <c r="A125" s="27" t="s">
        <v>80</v>
      </c>
      <c r="B125" s="48" t="s">
        <v>81</v>
      </c>
      <c r="C125" s="46">
        <v>1.77</v>
      </c>
      <c r="D125" s="41">
        <f t="shared" si="3"/>
        <v>53.574360000000006</v>
      </c>
    </row>
    <row r="126" spans="1:4">
      <c r="A126" s="27" t="s">
        <v>82</v>
      </c>
      <c r="B126" s="48" t="s">
        <v>83</v>
      </c>
      <c r="C126" s="46">
        <v>0.11</v>
      </c>
      <c r="D126" s="41">
        <f t="shared" si="3"/>
        <v>3.3294800000000002</v>
      </c>
    </row>
    <row r="127" spans="1:4">
      <c r="A127" s="27" t="s">
        <v>84</v>
      </c>
      <c r="B127" s="48" t="s">
        <v>85</v>
      </c>
      <c r="C127" s="46">
        <v>7.52</v>
      </c>
      <c r="D127" s="41">
        <f t="shared" si="3"/>
        <v>227.61535999999998</v>
      </c>
    </row>
    <row r="128" spans="1:4">
      <c r="A128" s="27" t="s">
        <v>86</v>
      </c>
      <c r="B128" s="48" t="s">
        <v>87</v>
      </c>
      <c r="C128" s="46">
        <v>0.03</v>
      </c>
      <c r="D128" s="41">
        <f t="shared" si="3"/>
        <v>0.90803999999999996</v>
      </c>
    </row>
    <row r="129" spans="1:4">
      <c r="A129" s="27"/>
      <c r="B129" s="36" t="s">
        <v>88</v>
      </c>
      <c r="C129" s="43">
        <f>SUM(C119:C128)</f>
        <v>43.42</v>
      </c>
      <c r="D129" s="49">
        <f>SUM(D119:D128)</f>
        <v>1314.2365600000003</v>
      </c>
    </row>
    <row r="130" spans="1:4">
      <c r="A130" s="660" t="s">
        <v>89</v>
      </c>
      <c r="B130" s="660"/>
      <c r="C130" s="660"/>
      <c r="D130" s="660"/>
    </row>
    <row r="131" spans="1:4">
      <c r="A131" s="50" t="s">
        <v>23</v>
      </c>
      <c r="B131" s="51" t="s">
        <v>48</v>
      </c>
      <c r="C131" s="52" t="s">
        <v>25</v>
      </c>
      <c r="D131" s="50" t="s">
        <v>26</v>
      </c>
    </row>
    <row r="132" spans="1:4">
      <c r="A132" s="50" t="s">
        <v>82</v>
      </c>
      <c r="B132" s="53" t="s">
        <v>90</v>
      </c>
      <c r="C132" s="54">
        <v>4.53</v>
      </c>
      <c r="D132" s="41">
        <f>C132/100*$D$102</f>
        <v>137.11404000000002</v>
      </c>
    </row>
    <row r="133" spans="1:4">
      <c r="A133" s="50" t="s">
        <v>84</v>
      </c>
      <c r="B133" s="48" t="s">
        <v>91</v>
      </c>
      <c r="C133" s="54">
        <v>0.11</v>
      </c>
      <c r="D133" s="41">
        <f>C133/100*$D$102</f>
        <v>3.3294800000000002</v>
      </c>
    </row>
    <row r="134" spans="1:4">
      <c r="A134" s="50" t="s">
        <v>86</v>
      </c>
      <c r="B134" s="48" t="s">
        <v>92</v>
      </c>
      <c r="C134" s="54">
        <v>5.59</v>
      </c>
      <c r="D134" s="41">
        <f>C134/100*$D$102</f>
        <v>169.19812000000002</v>
      </c>
    </row>
    <row r="135" spans="1:4">
      <c r="A135" s="50" t="s">
        <v>93</v>
      </c>
      <c r="B135" s="48" t="s">
        <v>94</v>
      </c>
      <c r="C135" s="56">
        <v>4.71</v>
      </c>
      <c r="D135" s="41">
        <f>C135/100*$D$102</f>
        <v>142.56228000000002</v>
      </c>
    </row>
    <row r="136" spans="1:4">
      <c r="A136" s="50" t="s">
        <v>95</v>
      </c>
      <c r="B136" s="48" t="s">
        <v>96</v>
      </c>
      <c r="C136" s="56">
        <v>0.38</v>
      </c>
      <c r="D136" s="41">
        <f>C136/100*$D$102</f>
        <v>11.501840000000001</v>
      </c>
    </row>
    <row r="137" spans="1:4">
      <c r="A137" s="54"/>
      <c r="B137" s="57" t="s">
        <v>97</v>
      </c>
      <c r="C137" s="58">
        <f>SUM(C132:C136)</f>
        <v>15.320000000000002</v>
      </c>
      <c r="D137" s="59">
        <f>C137/100*D102</f>
        <v>463.70576000000011</v>
      </c>
    </row>
    <row r="138" spans="1:4">
      <c r="A138" s="661" t="s">
        <v>98</v>
      </c>
      <c r="B138" s="661"/>
      <c r="C138" s="661"/>
      <c r="D138" s="661"/>
    </row>
    <row r="139" spans="1:4">
      <c r="A139" s="50" t="s">
        <v>23</v>
      </c>
      <c r="B139" s="51" t="s">
        <v>48</v>
      </c>
      <c r="C139" s="52" t="s">
        <v>25</v>
      </c>
      <c r="D139" s="50" t="s">
        <v>26</v>
      </c>
    </row>
    <row r="140" spans="1:4">
      <c r="A140" s="50"/>
      <c r="B140" s="60" t="s">
        <v>99</v>
      </c>
      <c r="C140" s="52">
        <v>7.73</v>
      </c>
      <c r="D140" s="61">
        <f>C140/100*$D$20</f>
        <v>125.31876000000001</v>
      </c>
    </row>
    <row r="141" spans="1:4" ht="23.25">
      <c r="A141" s="62" t="s">
        <v>100</v>
      </c>
      <c r="B141" s="63" t="s">
        <v>101</v>
      </c>
      <c r="C141" s="56">
        <v>0.38</v>
      </c>
      <c r="D141" s="61">
        <f>C141/100*$D$20</f>
        <v>6.1605600000000003</v>
      </c>
    </row>
    <row r="142" spans="1:4">
      <c r="A142" s="62"/>
      <c r="B142" s="57" t="s">
        <v>102</v>
      </c>
      <c r="C142" s="58">
        <f>SUM(C140:C141)</f>
        <v>8.1100000000000012</v>
      </c>
      <c r="D142" s="64">
        <f>SUM(D140:D141)</f>
        <v>131.47932</v>
      </c>
    </row>
    <row r="143" spans="1:4">
      <c r="A143" s="62"/>
      <c r="B143" s="53" t="s">
        <v>103</v>
      </c>
      <c r="C143" s="65">
        <f>C116+C129+C137+C142</f>
        <v>84.65</v>
      </c>
      <c r="D143" s="66">
        <f>D116+D129+D137+D142</f>
        <v>2448.1920400000004</v>
      </c>
    </row>
    <row r="144" spans="1:4">
      <c r="A144" s="62"/>
      <c r="B144" s="67" t="s">
        <v>104</v>
      </c>
      <c r="C144" s="68"/>
      <c r="D144" s="69">
        <f>D102+D143</f>
        <v>5474.992040000001</v>
      </c>
    </row>
    <row r="145" spans="1:5">
      <c r="A145" s="21"/>
      <c r="B145" s="21"/>
      <c r="C145" s="21"/>
      <c r="D145" s="21"/>
    </row>
    <row r="146" spans="1:5">
      <c r="A146" s="660" t="s">
        <v>105</v>
      </c>
      <c r="B146" s="660"/>
      <c r="C146" s="660"/>
      <c r="D146" s="660"/>
    </row>
    <row r="147" spans="1:5" ht="22.5">
      <c r="A147" s="71" t="s">
        <v>23</v>
      </c>
      <c r="B147" s="71" t="s">
        <v>106</v>
      </c>
      <c r="C147" s="72" t="s">
        <v>107</v>
      </c>
      <c r="D147" s="30" t="s">
        <v>26</v>
      </c>
    </row>
    <row r="148" spans="1:5" ht="23.25">
      <c r="A148" s="26">
        <v>1</v>
      </c>
      <c r="B148" s="37" t="s">
        <v>108</v>
      </c>
      <c r="C148" s="46">
        <f>D148/D102*100</f>
        <v>0.99114576450376624</v>
      </c>
      <c r="D148" s="35">
        <f>(6*60)/12</f>
        <v>30</v>
      </c>
    </row>
    <row r="149" spans="1:5">
      <c r="A149" s="26">
        <v>2</v>
      </c>
      <c r="B149" s="37" t="s">
        <v>127</v>
      </c>
      <c r="C149" s="46">
        <f>D149/D102*100</f>
        <v>0.89974009955508549</v>
      </c>
      <c r="D149" s="35">
        <f>D150+D151</f>
        <v>27.233333333333327</v>
      </c>
    </row>
    <row r="150" spans="1:5" ht="23.25">
      <c r="A150" s="88" t="s">
        <v>49</v>
      </c>
      <c r="B150" s="73" t="s">
        <v>128</v>
      </c>
      <c r="C150" s="46"/>
      <c r="D150" s="74">
        <f>(6*51.8)/12</f>
        <v>25.899999999999995</v>
      </c>
    </row>
    <row r="151" spans="1:5">
      <c r="A151" s="88" t="s">
        <v>51</v>
      </c>
      <c r="B151" s="73" t="s">
        <v>112</v>
      </c>
      <c r="C151" s="46"/>
      <c r="D151" s="74">
        <f>2*8/12</f>
        <v>1.3333333333333333</v>
      </c>
    </row>
    <row r="152" spans="1:5">
      <c r="A152" s="26">
        <v>3</v>
      </c>
      <c r="B152" s="26" t="s">
        <v>114</v>
      </c>
      <c r="C152" s="75">
        <f>D152/D102*100</f>
        <v>7.5327078102286268E-2</v>
      </c>
      <c r="D152" s="76">
        <f>132-0.06*D93</f>
        <v>2.2800000000000011</v>
      </c>
    </row>
    <row r="153" spans="1:5">
      <c r="A153" s="26">
        <v>4</v>
      </c>
      <c r="B153" s="26" t="s">
        <v>115</v>
      </c>
      <c r="C153" s="77">
        <f>D153/D102*100</f>
        <v>17.351658517245934</v>
      </c>
      <c r="D153" s="583">
        <f>20.2*26</f>
        <v>525.19999999999993</v>
      </c>
      <c r="E153" s="584"/>
    </row>
    <row r="154" spans="1:5">
      <c r="A154" s="26">
        <v>5</v>
      </c>
      <c r="B154" s="26" t="s">
        <v>116</v>
      </c>
      <c r="C154" s="77">
        <v>0</v>
      </c>
      <c r="D154" s="47">
        <v>0</v>
      </c>
    </row>
    <row r="155" spans="1:5">
      <c r="A155" s="26">
        <v>6</v>
      </c>
      <c r="B155" s="26" t="s">
        <v>117</v>
      </c>
      <c r="C155" s="77">
        <v>0.5</v>
      </c>
      <c r="D155" s="47">
        <f>C155/100*D102</f>
        <v>15.134</v>
      </c>
    </row>
    <row r="156" spans="1:5">
      <c r="A156" s="26">
        <v>7</v>
      </c>
      <c r="B156" s="26" t="s">
        <v>118</v>
      </c>
      <c r="C156" s="77">
        <v>0</v>
      </c>
      <c r="D156" s="47">
        <f>C156/100*D102</f>
        <v>0</v>
      </c>
    </row>
    <row r="157" spans="1:5">
      <c r="A157" s="26">
        <v>8</v>
      </c>
      <c r="B157" s="26" t="s">
        <v>129</v>
      </c>
      <c r="C157" s="77">
        <f>D157/D102*100</f>
        <v>0.27531826791771291</v>
      </c>
      <c r="D157" s="47">
        <f>100/12</f>
        <v>8.3333333333333339</v>
      </c>
    </row>
    <row r="158" spans="1:5">
      <c r="A158" s="26">
        <v>9</v>
      </c>
      <c r="B158" s="26" t="s">
        <v>130</v>
      </c>
      <c r="C158" s="77">
        <f>D158/D102*100</f>
        <v>0.60606060606060619</v>
      </c>
      <c r="D158" s="47">
        <f>(D102/220)*8*2/12</f>
        <v>18.344242424242427</v>
      </c>
    </row>
    <row r="159" spans="1:5">
      <c r="A159" s="26">
        <v>10</v>
      </c>
      <c r="B159" s="26" t="s">
        <v>131</v>
      </c>
      <c r="C159" s="77">
        <f>D159/D102*100</f>
        <v>0</v>
      </c>
      <c r="D159" s="47">
        <v>0</v>
      </c>
    </row>
    <row r="160" spans="1:5">
      <c r="A160" s="26"/>
      <c r="B160" s="78" t="s">
        <v>122</v>
      </c>
      <c r="C160" s="79">
        <f>SUM(C148:C159)</f>
        <v>20.69925033338539</v>
      </c>
      <c r="D160" s="80">
        <f>D148+D149+D152+D153+D154+D155+D156+D157+D158+D159</f>
        <v>626.52490909090909</v>
      </c>
    </row>
    <row r="161" spans="1:5">
      <c r="A161" s="21"/>
      <c r="B161" s="21"/>
      <c r="C161" s="21"/>
      <c r="D161" s="21"/>
    </row>
    <row r="162" spans="1:5">
      <c r="A162" s="87"/>
      <c r="B162" s="83" t="s">
        <v>123</v>
      </c>
      <c r="C162" s="83"/>
      <c r="D162" s="21"/>
    </row>
    <row r="163" spans="1:5">
      <c r="A163" s="84"/>
      <c r="B163" s="85" t="s">
        <v>124</v>
      </c>
      <c r="C163" s="86">
        <f>(D144+D160)*(1+BDI!$B$12)</f>
        <v>7650.0398713429486</v>
      </c>
      <c r="D163" s="87"/>
    </row>
    <row r="164" spans="1:5" s="579" customFormat="1">
      <c r="A164" s="584"/>
      <c r="B164" s="584"/>
      <c r="C164" s="584"/>
      <c r="D164" s="584"/>
      <c r="E164" s="584"/>
    </row>
    <row r="165" spans="1:5">
      <c r="A165" s="21"/>
      <c r="B165" s="21"/>
      <c r="C165" s="21"/>
      <c r="D165" s="21"/>
    </row>
    <row r="166" spans="1:5" ht="13.9" customHeight="1">
      <c r="A166" s="653" t="s">
        <v>15</v>
      </c>
      <c r="B166" s="653"/>
      <c r="C166" s="654" t="s">
        <v>132</v>
      </c>
      <c r="D166" s="654"/>
    </row>
    <row r="167" spans="1:5">
      <c r="A167" s="655" t="s">
        <v>17</v>
      </c>
      <c r="B167" s="655"/>
      <c r="C167" s="655"/>
      <c r="D167" s="27" t="s">
        <v>18</v>
      </c>
    </row>
    <row r="168" spans="1:5" ht="13.9" customHeight="1">
      <c r="A168" s="656" t="s">
        <v>19</v>
      </c>
      <c r="B168" s="656"/>
      <c r="C168" s="656"/>
      <c r="D168" s="28" t="s">
        <v>20</v>
      </c>
    </row>
    <row r="169" spans="1:5">
      <c r="A169" s="655"/>
      <c r="B169" s="655"/>
      <c r="C169" s="655"/>
      <c r="D169" s="29"/>
    </row>
    <row r="170" spans="1:5" ht="13.9" customHeight="1">
      <c r="A170" s="654" t="s">
        <v>21</v>
      </c>
      <c r="B170" s="654"/>
      <c r="C170" s="654"/>
      <c r="D170" s="654"/>
    </row>
    <row r="171" spans="1:5" ht="13.9" customHeight="1">
      <c r="A171" s="657" t="s">
        <v>22</v>
      </c>
      <c r="B171" s="657"/>
      <c r="C171" s="657"/>
      <c r="D171" s="657"/>
    </row>
    <row r="172" spans="1:5">
      <c r="A172" s="30" t="s">
        <v>23</v>
      </c>
      <c r="B172" s="30" t="s">
        <v>24</v>
      </c>
      <c r="C172" s="31" t="s">
        <v>25</v>
      </c>
      <c r="D172" s="30" t="s">
        <v>26</v>
      </c>
    </row>
    <row r="173" spans="1:5">
      <c r="A173" s="26" t="s">
        <v>27</v>
      </c>
      <c r="B173" s="26" t="s">
        <v>126</v>
      </c>
      <c r="C173" s="32"/>
      <c r="D173" s="35">
        <f>D93</f>
        <v>2162</v>
      </c>
    </row>
    <row r="174" spans="1:5">
      <c r="A174" s="26" t="s">
        <v>29</v>
      </c>
      <c r="B174" s="26" t="s">
        <v>30</v>
      </c>
      <c r="C174" s="34">
        <v>40</v>
      </c>
      <c r="D174" s="35">
        <f>0.4*D173</f>
        <v>864.80000000000007</v>
      </c>
    </row>
    <row r="175" spans="1:5">
      <c r="A175" s="26" t="s">
        <v>31</v>
      </c>
      <c r="B175" s="26" t="s">
        <v>32</v>
      </c>
      <c r="C175" s="34">
        <v>0</v>
      </c>
      <c r="D175" s="35">
        <v>0</v>
      </c>
    </row>
    <row r="176" spans="1:5">
      <c r="A176" s="26" t="s">
        <v>33</v>
      </c>
      <c r="B176" s="26" t="s">
        <v>34</v>
      </c>
      <c r="C176" s="34">
        <v>0</v>
      </c>
      <c r="D176" s="35">
        <v>0</v>
      </c>
    </row>
    <row r="177" spans="1:4">
      <c r="A177" s="26" t="s">
        <v>35</v>
      </c>
      <c r="B177" s="26" t="s">
        <v>36</v>
      </c>
      <c r="C177" s="34">
        <v>0</v>
      </c>
      <c r="D177" s="35">
        <v>0</v>
      </c>
    </row>
    <row r="178" spans="1:4">
      <c r="A178" s="26" t="s">
        <v>37</v>
      </c>
      <c r="B178" s="26" t="s">
        <v>38</v>
      </c>
      <c r="C178" s="34">
        <v>0</v>
      </c>
      <c r="D178" s="35">
        <v>0</v>
      </c>
    </row>
    <row r="179" spans="1:4">
      <c r="A179" s="26" t="s">
        <v>39</v>
      </c>
      <c r="B179" s="26" t="s">
        <v>40</v>
      </c>
      <c r="C179" s="34">
        <v>0</v>
      </c>
      <c r="D179" s="35">
        <v>0</v>
      </c>
    </row>
    <row r="180" spans="1:4">
      <c r="A180" s="26" t="s">
        <v>41</v>
      </c>
      <c r="B180" s="26" t="s">
        <v>42</v>
      </c>
      <c r="C180" s="34">
        <v>0</v>
      </c>
      <c r="D180" s="35">
        <v>0</v>
      </c>
    </row>
    <row r="181" spans="1:4">
      <c r="A181" s="26" t="s">
        <v>43</v>
      </c>
      <c r="B181" s="26" t="s">
        <v>44</v>
      </c>
      <c r="C181" s="34">
        <v>0</v>
      </c>
      <c r="D181" s="35">
        <v>0</v>
      </c>
    </row>
    <row r="182" spans="1:4">
      <c r="A182" s="658" t="s">
        <v>45</v>
      </c>
      <c r="B182" s="658"/>
      <c r="C182" s="32"/>
      <c r="D182" s="33">
        <f>SUM(D173:D181)</f>
        <v>3026.8</v>
      </c>
    </row>
    <row r="183" spans="1:4">
      <c r="A183" s="659"/>
      <c r="B183" s="659"/>
      <c r="C183" s="659"/>
      <c r="D183" s="659"/>
    </row>
    <row r="184" spans="1:4" ht="13.9" customHeight="1">
      <c r="A184" s="657" t="s">
        <v>46</v>
      </c>
      <c r="B184" s="657"/>
      <c r="C184" s="657"/>
      <c r="D184" s="657"/>
    </row>
    <row r="185" spans="1:4" ht="13.9" customHeight="1">
      <c r="A185" s="654" t="s">
        <v>47</v>
      </c>
      <c r="B185" s="654"/>
      <c r="C185" s="654"/>
      <c r="D185" s="654"/>
    </row>
    <row r="186" spans="1:4">
      <c r="A186" s="30" t="s">
        <v>23</v>
      </c>
      <c r="B186" s="38" t="s">
        <v>48</v>
      </c>
      <c r="C186" s="31" t="s">
        <v>25</v>
      </c>
      <c r="D186" s="30" t="s">
        <v>26</v>
      </c>
    </row>
    <row r="187" spans="1:4">
      <c r="A187" s="27" t="s">
        <v>49</v>
      </c>
      <c r="B187" s="39" t="s">
        <v>50</v>
      </c>
      <c r="C187" s="40">
        <v>0</v>
      </c>
      <c r="D187" s="41">
        <f t="shared" ref="D187:D195" si="4">C187/100*$D$182</f>
        <v>0</v>
      </c>
    </row>
    <row r="188" spans="1:4">
      <c r="A188" s="27" t="s">
        <v>51</v>
      </c>
      <c r="B188" s="39" t="s">
        <v>52</v>
      </c>
      <c r="C188" s="40">
        <v>1.5</v>
      </c>
      <c r="D188" s="41">
        <f t="shared" si="4"/>
        <v>45.402000000000001</v>
      </c>
    </row>
    <row r="189" spans="1:4">
      <c r="A189" s="27" t="s">
        <v>53</v>
      </c>
      <c r="B189" s="39" t="s">
        <v>54</v>
      </c>
      <c r="C189" s="40">
        <v>1</v>
      </c>
      <c r="D189" s="41">
        <f t="shared" si="4"/>
        <v>30.268000000000001</v>
      </c>
    </row>
    <row r="190" spans="1:4">
      <c r="A190" s="27" t="s">
        <v>55</v>
      </c>
      <c r="B190" s="39" t="s">
        <v>56</v>
      </c>
      <c r="C190" s="40">
        <v>0.2</v>
      </c>
      <c r="D190" s="41">
        <f t="shared" si="4"/>
        <v>6.0536000000000003</v>
      </c>
    </row>
    <row r="191" spans="1:4">
      <c r="A191" s="27" t="s">
        <v>57</v>
      </c>
      <c r="B191" s="39" t="s">
        <v>58</v>
      </c>
      <c r="C191" s="40">
        <v>0.6</v>
      </c>
      <c r="D191" s="41">
        <f t="shared" si="4"/>
        <v>18.160800000000002</v>
      </c>
    </row>
    <row r="192" spans="1:4">
      <c r="A192" s="27" t="s">
        <v>59</v>
      </c>
      <c r="B192" s="39" t="s">
        <v>60</v>
      </c>
      <c r="C192" s="40">
        <v>2.5</v>
      </c>
      <c r="D192" s="41">
        <f t="shared" si="4"/>
        <v>75.67</v>
      </c>
    </row>
    <row r="193" spans="1:4">
      <c r="A193" s="27" t="s">
        <v>61</v>
      </c>
      <c r="B193" s="39" t="s">
        <v>62</v>
      </c>
      <c r="C193" s="40">
        <v>3</v>
      </c>
      <c r="D193" s="41">
        <f t="shared" si="4"/>
        <v>90.804000000000002</v>
      </c>
    </row>
    <row r="194" spans="1:4">
      <c r="A194" s="27" t="s">
        <v>63</v>
      </c>
      <c r="B194" s="39" t="s">
        <v>64</v>
      </c>
      <c r="C194" s="40">
        <v>8</v>
      </c>
      <c r="D194" s="41">
        <f t="shared" si="4"/>
        <v>242.14400000000001</v>
      </c>
    </row>
    <row r="195" spans="1:4">
      <c r="A195" s="27" t="s">
        <v>65</v>
      </c>
      <c r="B195" s="39" t="s">
        <v>66</v>
      </c>
      <c r="C195" s="40">
        <v>1</v>
      </c>
      <c r="D195" s="41">
        <f t="shared" si="4"/>
        <v>30.268000000000001</v>
      </c>
    </row>
    <row r="196" spans="1:4">
      <c r="A196" s="27"/>
      <c r="B196" s="42" t="s">
        <v>67</v>
      </c>
      <c r="C196" s="43">
        <f>SUM(C187:C195)</f>
        <v>17.8</v>
      </c>
      <c r="D196" s="44">
        <f>SUM(D187:D195)</f>
        <v>538.7704</v>
      </c>
    </row>
    <row r="197" spans="1:4">
      <c r="A197" s="660" t="s">
        <v>68</v>
      </c>
      <c r="B197" s="660"/>
      <c r="C197" s="660"/>
      <c r="D197" s="660"/>
    </row>
    <row r="198" spans="1:4">
      <c r="A198" s="30" t="s">
        <v>23</v>
      </c>
      <c r="B198" s="38" t="s">
        <v>48</v>
      </c>
      <c r="C198" s="31" t="s">
        <v>25</v>
      </c>
      <c r="D198" s="30" t="s">
        <v>26</v>
      </c>
    </row>
    <row r="199" spans="1:4">
      <c r="A199" s="27" t="s">
        <v>65</v>
      </c>
      <c r="B199" s="26" t="s">
        <v>69</v>
      </c>
      <c r="C199" s="46">
        <v>17.88</v>
      </c>
      <c r="D199" s="41">
        <f t="shared" ref="D199:D208" si="5">C199/100*$D$182</f>
        <v>541.19183999999996</v>
      </c>
    </row>
    <row r="200" spans="1:4">
      <c r="A200" s="27" t="s">
        <v>70</v>
      </c>
      <c r="B200" s="48" t="s">
        <v>71</v>
      </c>
      <c r="C200" s="46">
        <v>3.69</v>
      </c>
      <c r="D200" s="41">
        <f t="shared" si="5"/>
        <v>111.68892000000001</v>
      </c>
    </row>
    <row r="201" spans="1:4">
      <c r="A201" s="27" t="s">
        <v>72</v>
      </c>
      <c r="B201" s="48" t="s">
        <v>73</v>
      </c>
      <c r="C201" s="46">
        <v>0.89</v>
      </c>
      <c r="D201" s="41">
        <f t="shared" si="5"/>
        <v>26.93852</v>
      </c>
    </row>
    <row r="202" spans="1:4">
      <c r="A202" s="27" t="s">
        <v>74</v>
      </c>
      <c r="B202" s="48" t="s">
        <v>75</v>
      </c>
      <c r="C202" s="46">
        <v>10.74</v>
      </c>
      <c r="D202" s="41">
        <f t="shared" si="5"/>
        <v>325.07832000000002</v>
      </c>
    </row>
    <row r="203" spans="1:4">
      <c r="A203" s="27" t="s">
        <v>76</v>
      </c>
      <c r="B203" s="48" t="s">
        <v>77</v>
      </c>
      <c r="C203" s="46">
        <v>7.0000000000000007E-2</v>
      </c>
      <c r="D203" s="41">
        <f t="shared" si="5"/>
        <v>2.1187600000000004</v>
      </c>
    </row>
    <row r="204" spans="1:4">
      <c r="A204" s="27" t="s">
        <v>78</v>
      </c>
      <c r="B204" s="48" t="s">
        <v>79</v>
      </c>
      <c r="C204" s="46">
        <v>0.72</v>
      </c>
      <c r="D204" s="41">
        <f t="shared" si="5"/>
        <v>21.792960000000001</v>
      </c>
    </row>
    <row r="205" spans="1:4">
      <c r="A205" s="27" t="s">
        <v>80</v>
      </c>
      <c r="B205" s="48" t="s">
        <v>81</v>
      </c>
      <c r="C205" s="46">
        <v>1.77</v>
      </c>
      <c r="D205" s="41">
        <f t="shared" si="5"/>
        <v>53.574360000000006</v>
      </c>
    </row>
    <row r="206" spans="1:4">
      <c r="A206" s="27" t="s">
        <v>82</v>
      </c>
      <c r="B206" s="48" t="s">
        <v>83</v>
      </c>
      <c r="C206" s="46">
        <v>0.11</v>
      </c>
      <c r="D206" s="41">
        <f t="shared" si="5"/>
        <v>3.3294800000000002</v>
      </c>
    </row>
    <row r="207" spans="1:4">
      <c r="A207" s="27" t="s">
        <v>84</v>
      </c>
      <c r="B207" s="48" t="s">
        <v>85</v>
      </c>
      <c r="C207" s="46">
        <v>7.52</v>
      </c>
      <c r="D207" s="41">
        <f t="shared" si="5"/>
        <v>227.61535999999998</v>
      </c>
    </row>
    <row r="208" spans="1:4">
      <c r="A208" s="27" t="s">
        <v>86</v>
      </c>
      <c r="B208" s="48" t="s">
        <v>87</v>
      </c>
      <c r="C208" s="46">
        <v>0.03</v>
      </c>
      <c r="D208" s="41">
        <f t="shared" si="5"/>
        <v>0.90803999999999996</v>
      </c>
    </row>
    <row r="209" spans="1:4">
      <c r="A209" s="27"/>
      <c r="B209" s="36" t="s">
        <v>88</v>
      </c>
      <c r="C209" s="43">
        <f>SUM(C199:C208)</f>
        <v>43.42</v>
      </c>
      <c r="D209" s="49">
        <f>SUM(D199:D208)</f>
        <v>1314.2365600000003</v>
      </c>
    </row>
    <row r="210" spans="1:4">
      <c r="A210" s="660" t="s">
        <v>89</v>
      </c>
      <c r="B210" s="660"/>
      <c r="C210" s="660"/>
      <c r="D210" s="660"/>
    </row>
    <row r="211" spans="1:4">
      <c r="A211" s="50" t="s">
        <v>23</v>
      </c>
      <c r="B211" s="51" t="s">
        <v>48</v>
      </c>
      <c r="C211" s="52" t="s">
        <v>25</v>
      </c>
      <c r="D211" s="50" t="s">
        <v>26</v>
      </c>
    </row>
    <row r="212" spans="1:4">
      <c r="A212" s="50" t="s">
        <v>82</v>
      </c>
      <c r="B212" s="53" t="s">
        <v>90</v>
      </c>
      <c r="C212" s="54">
        <v>4.53</v>
      </c>
      <c r="D212" s="41">
        <f>C212/100*$D$182</f>
        <v>137.11404000000002</v>
      </c>
    </row>
    <row r="213" spans="1:4">
      <c r="A213" s="50" t="s">
        <v>84</v>
      </c>
      <c r="B213" s="48" t="s">
        <v>91</v>
      </c>
      <c r="C213" s="54">
        <v>0.11</v>
      </c>
      <c r="D213" s="41">
        <f>C213/100*$D$182</f>
        <v>3.3294800000000002</v>
      </c>
    </row>
    <row r="214" spans="1:4">
      <c r="A214" s="50" t="s">
        <v>86</v>
      </c>
      <c r="B214" s="48" t="s">
        <v>92</v>
      </c>
      <c r="C214" s="54">
        <v>5.59</v>
      </c>
      <c r="D214" s="41">
        <f>C214/100*$D$182</f>
        <v>169.19812000000002</v>
      </c>
    </row>
    <row r="215" spans="1:4">
      <c r="A215" s="50" t="s">
        <v>93</v>
      </c>
      <c r="B215" s="48" t="s">
        <v>94</v>
      </c>
      <c r="C215" s="56">
        <v>4.71</v>
      </c>
      <c r="D215" s="41">
        <f>C215/100*$D$182</f>
        <v>142.56228000000002</v>
      </c>
    </row>
    <row r="216" spans="1:4">
      <c r="A216" s="50" t="s">
        <v>95</v>
      </c>
      <c r="B216" s="48" t="s">
        <v>96</v>
      </c>
      <c r="C216" s="56">
        <v>0.38</v>
      </c>
      <c r="D216" s="41">
        <f>C216/100*$D$182</f>
        <v>11.501840000000001</v>
      </c>
    </row>
    <row r="217" spans="1:4">
      <c r="A217" s="54"/>
      <c r="B217" s="57" t="s">
        <v>97</v>
      </c>
      <c r="C217" s="58">
        <f>SUM(C212:C216)</f>
        <v>15.320000000000002</v>
      </c>
      <c r="D217" s="59">
        <f>C217/100*D182</f>
        <v>463.70576000000011</v>
      </c>
    </row>
    <row r="218" spans="1:4">
      <c r="A218" s="661" t="s">
        <v>98</v>
      </c>
      <c r="B218" s="661"/>
      <c r="C218" s="661"/>
      <c r="D218" s="661"/>
    </row>
    <row r="219" spans="1:4">
      <c r="A219" s="50" t="s">
        <v>23</v>
      </c>
      <c r="B219" s="51" t="s">
        <v>48</v>
      </c>
      <c r="C219" s="52" t="s">
        <v>25</v>
      </c>
      <c r="D219" s="50" t="s">
        <v>26</v>
      </c>
    </row>
    <row r="220" spans="1:4">
      <c r="A220" s="50"/>
      <c r="B220" s="60" t="s">
        <v>99</v>
      </c>
      <c r="C220" s="52">
        <v>7.73</v>
      </c>
      <c r="D220" s="61">
        <f>C220/100*$D$20</f>
        <v>125.31876000000001</v>
      </c>
    </row>
    <row r="221" spans="1:4" ht="23.25">
      <c r="A221" s="62" t="s">
        <v>100</v>
      </c>
      <c r="B221" s="63" t="s">
        <v>101</v>
      </c>
      <c r="C221" s="56">
        <v>0.38</v>
      </c>
      <c r="D221" s="61">
        <f>C221/100*$D$20</f>
        <v>6.1605600000000003</v>
      </c>
    </row>
    <row r="222" spans="1:4">
      <c r="A222" s="62"/>
      <c r="B222" s="57" t="s">
        <v>102</v>
      </c>
      <c r="C222" s="58">
        <f>SUM(C220:C221)</f>
        <v>8.1100000000000012</v>
      </c>
      <c r="D222" s="64">
        <f>SUM(D220:D221)</f>
        <v>131.47932</v>
      </c>
    </row>
    <row r="223" spans="1:4">
      <c r="A223" s="62"/>
      <c r="B223" s="53" t="s">
        <v>103</v>
      </c>
      <c r="C223" s="65">
        <f>C196+C209+C217+C222</f>
        <v>84.65</v>
      </c>
      <c r="D223" s="66">
        <f>D196+D209+D217+D222</f>
        <v>2448.1920400000004</v>
      </c>
    </row>
    <row r="224" spans="1:4">
      <c r="A224" s="62"/>
      <c r="B224" s="67" t="s">
        <v>104</v>
      </c>
      <c r="C224" s="68"/>
      <c r="D224" s="69">
        <f>D182+D223</f>
        <v>5474.992040000001</v>
      </c>
    </row>
    <row r="225" spans="1:4">
      <c r="A225" s="89"/>
      <c r="B225" s="89"/>
      <c r="C225" s="89"/>
      <c r="D225" s="89"/>
    </row>
    <row r="226" spans="1:4">
      <c r="A226" s="660" t="s">
        <v>105</v>
      </c>
      <c r="B226" s="660"/>
      <c r="C226" s="660"/>
      <c r="D226" s="660"/>
    </row>
    <row r="227" spans="1:4" ht="22.5">
      <c r="A227" s="71" t="s">
        <v>23</v>
      </c>
      <c r="B227" s="71" t="s">
        <v>106</v>
      </c>
      <c r="C227" s="72" t="s">
        <v>107</v>
      </c>
      <c r="D227" s="30" t="s">
        <v>26</v>
      </c>
    </row>
    <row r="228" spans="1:4" ht="23.25">
      <c r="A228" s="26">
        <v>1</v>
      </c>
      <c r="B228" s="37" t="s">
        <v>108</v>
      </c>
      <c r="C228" s="46">
        <f>D228/D182*100</f>
        <v>0.99114576450376624</v>
      </c>
      <c r="D228" s="35">
        <f>(60*6)/12</f>
        <v>30</v>
      </c>
    </row>
    <row r="229" spans="1:4">
      <c r="A229" s="26">
        <v>2</v>
      </c>
      <c r="B229" s="37" t="s">
        <v>127</v>
      </c>
      <c r="C229" s="46">
        <f>D229/D182*100</f>
        <v>0.89974009955508549</v>
      </c>
      <c r="D229" s="35">
        <f>D230+D231</f>
        <v>27.233333333333327</v>
      </c>
    </row>
    <row r="230" spans="1:4" ht="23.25">
      <c r="A230" s="88" t="s">
        <v>49</v>
      </c>
      <c r="B230" s="73" t="s">
        <v>128</v>
      </c>
      <c r="C230" s="46"/>
      <c r="D230" s="74">
        <f>D150</f>
        <v>25.899999999999995</v>
      </c>
    </row>
    <row r="231" spans="1:4">
      <c r="A231" s="88" t="s">
        <v>51</v>
      </c>
      <c r="B231" s="73" t="s">
        <v>112</v>
      </c>
      <c r="C231" s="46"/>
      <c r="D231" s="74">
        <f>D151</f>
        <v>1.3333333333333333</v>
      </c>
    </row>
    <row r="232" spans="1:4">
      <c r="A232" s="26">
        <v>3</v>
      </c>
      <c r="B232" s="26" t="s">
        <v>114</v>
      </c>
      <c r="C232" s="75">
        <f>D232/D182*100</f>
        <v>7.5327078102286268E-2</v>
      </c>
      <c r="D232" s="76">
        <f>132-0.06*D173</f>
        <v>2.2800000000000011</v>
      </c>
    </row>
    <row r="233" spans="1:4">
      <c r="A233" s="26">
        <v>4</v>
      </c>
      <c r="B233" s="26" t="s">
        <v>115</v>
      </c>
      <c r="C233" s="77">
        <f>D233/D182*100</f>
        <v>17.351658517245934</v>
      </c>
      <c r="D233" s="47">
        <f>20.2*26</f>
        <v>525.19999999999993</v>
      </c>
    </row>
    <row r="234" spans="1:4">
      <c r="A234" s="26">
        <v>5</v>
      </c>
      <c r="B234" s="26" t="s">
        <v>116</v>
      </c>
      <c r="C234" s="77">
        <v>0</v>
      </c>
      <c r="D234" s="47">
        <v>0</v>
      </c>
    </row>
    <row r="235" spans="1:4">
      <c r="A235" s="26">
        <v>6</v>
      </c>
      <c r="B235" s="26" t="s">
        <v>117</v>
      </c>
      <c r="C235" s="77">
        <v>0.5</v>
      </c>
      <c r="D235" s="47">
        <f>C235/100*D182</f>
        <v>15.134</v>
      </c>
    </row>
    <row r="236" spans="1:4">
      <c r="A236" s="26">
        <v>7</v>
      </c>
      <c r="B236" s="26" t="s">
        <v>118</v>
      </c>
      <c r="C236" s="77">
        <v>0</v>
      </c>
      <c r="D236" s="47">
        <f>C236/100*D182</f>
        <v>0</v>
      </c>
    </row>
    <row r="237" spans="1:4">
      <c r="A237" s="26">
        <v>8</v>
      </c>
      <c r="B237" s="26" t="s">
        <v>133</v>
      </c>
      <c r="C237" s="77">
        <f>D237/D182*100</f>
        <v>0.27531826791771291</v>
      </c>
      <c r="D237" s="47">
        <f>100/12</f>
        <v>8.3333333333333339</v>
      </c>
    </row>
    <row r="238" spans="1:4">
      <c r="A238" s="26">
        <v>9</v>
      </c>
      <c r="B238" s="26" t="s">
        <v>120</v>
      </c>
      <c r="C238" s="77">
        <f>D238/D182*100</f>
        <v>0.60606060606060619</v>
      </c>
      <c r="D238" s="47">
        <f>(D182/220)*8*2/12</f>
        <v>18.344242424242427</v>
      </c>
    </row>
    <row r="239" spans="1:4">
      <c r="A239" s="26">
        <v>10</v>
      </c>
      <c r="B239" s="26" t="s">
        <v>134</v>
      </c>
      <c r="C239" s="77">
        <f>D239/D182*100</f>
        <v>0</v>
      </c>
      <c r="D239" s="47">
        <v>0</v>
      </c>
    </row>
    <row r="240" spans="1:4">
      <c r="A240" s="26"/>
      <c r="B240" s="78" t="s">
        <v>122</v>
      </c>
      <c r="C240" s="79">
        <f>SUM(C228:C239)</f>
        <v>20.69925033338539</v>
      </c>
      <c r="D240" s="80">
        <f>D228+D229+D232+D233+D234+D235+D236+D237+D238+D239</f>
        <v>626.52490909090909</v>
      </c>
    </row>
    <row r="241" spans="1:6">
      <c r="A241" s="21"/>
      <c r="B241" s="21"/>
      <c r="C241" s="21"/>
      <c r="D241" s="21"/>
    </row>
    <row r="242" spans="1:6">
      <c r="A242" s="87"/>
      <c r="B242" s="83" t="s">
        <v>123</v>
      </c>
      <c r="C242" s="83"/>
      <c r="D242" s="21"/>
    </row>
    <row r="243" spans="1:6">
      <c r="A243" s="84"/>
      <c r="B243" s="85" t="s">
        <v>124</v>
      </c>
      <c r="C243" s="86">
        <f>(D224+D240)*(1+BDI!$B$12)</f>
        <v>7650.0398713429486</v>
      </c>
      <c r="D243" s="87"/>
    </row>
    <row r="244" spans="1:6" s="579" customFormat="1">
      <c r="A244" s="584"/>
      <c r="B244" s="584"/>
      <c r="C244" s="584"/>
      <c r="D244" s="584"/>
      <c r="E244" s="584"/>
    </row>
    <row r="245" spans="1:6">
      <c r="A245" s="21"/>
      <c r="B245" s="21"/>
      <c r="C245" s="21"/>
      <c r="D245" s="21"/>
    </row>
    <row r="246" spans="1:6" ht="24.95" customHeight="1">
      <c r="A246" s="662" t="s">
        <v>135</v>
      </c>
      <c r="B246" s="662"/>
      <c r="C246" s="663" t="s">
        <v>136</v>
      </c>
      <c r="D246" s="663"/>
    </row>
    <row r="247" spans="1:6">
      <c r="A247" s="655" t="s">
        <v>137</v>
      </c>
      <c r="B247" s="655"/>
      <c r="C247" s="655"/>
      <c r="D247" s="91" t="s">
        <v>138</v>
      </c>
    </row>
    <row r="248" spans="1:6" ht="15" customHeight="1">
      <c r="A248" s="659" t="s">
        <v>714</v>
      </c>
      <c r="B248" s="659"/>
      <c r="C248" s="659"/>
      <c r="D248" s="614">
        <f>1280</f>
        <v>1280</v>
      </c>
    </row>
    <row r="249" spans="1:6">
      <c r="A249" s="21"/>
      <c r="B249" s="21"/>
      <c r="C249" s="21"/>
      <c r="D249" s="21"/>
      <c r="F249" s="193"/>
    </row>
    <row r="250" spans="1:6" ht="13.9" customHeight="1">
      <c r="A250" s="654" t="s">
        <v>21</v>
      </c>
      <c r="B250" s="654"/>
      <c r="C250" s="654"/>
      <c r="D250" s="654"/>
    </row>
    <row r="251" spans="1:6" ht="13.9" customHeight="1">
      <c r="A251" s="657" t="s">
        <v>22</v>
      </c>
      <c r="B251" s="657"/>
      <c r="C251" s="657"/>
      <c r="D251" s="657"/>
    </row>
    <row r="252" spans="1:6">
      <c r="A252" s="30" t="s">
        <v>23</v>
      </c>
      <c r="B252" s="30" t="s">
        <v>24</v>
      </c>
      <c r="C252" s="31" t="s">
        <v>25</v>
      </c>
      <c r="D252" s="30" t="s">
        <v>26</v>
      </c>
    </row>
    <row r="253" spans="1:6">
      <c r="A253" s="26" t="s">
        <v>27</v>
      </c>
      <c r="B253" s="26" t="s">
        <v>126</v>
      </c>
      <c r="C253" s="32"/>
      <c r="D253" s="35">
        <f>D248</f>
        <v>1280</v>
      </c>
    </row>
    <row r="254" spans="1:6">
      <c r="A254" s="26" t="s">
        <v>29</v>
      </c>
      <c r="B254" s="26" t="s">
        <v>30</v>
      </c>
      <c r="C254" s="34">
        <v>0</v>
      </c>
      <c r="D254" s="35">
        <f>C254*D253/100</f>
        <v>0</v>
      </c>
    </row>
    <row r="255" spans="1:6">
      <c r="A255" s="26" t="s">
        <v>31</v>
      </c>
      <c r="B255" s="26" t="s">
        <v>32</v>
      </c>
      <c r="C255" s="34">
        <v>0</v>
      </c>
      <c r="D255" s="35">
        <v>0</v>
      </c>
    </row>
    <row r="256" spans="1:6">
      <c r="A256" s="26" t="s">
        <v>33</v>
      </c>
      <c r="B256" s="26" t="s">
        <v>34</v>
      </c>
      <c r="C256" s="34">
        <v>0</v>
      </c>
      <c r="D256" s="35">
        <v>0</v>
      </c>
    </row>
    <row r="257" spans="1:4">
      <c r="A257" s="26" t="s">
        <v>35</v>
      </c>
      <c r="B257" s="26" t="s">
        <v>36</v>
      </c>
      <c r="C257" s="34">
        <v>0</v>
      </c>
      <c r="D257" s="35">
        <v>0</v>
      </c>
    </row>
    <row r="258" spans="1:4">
      <c r="A258" s="26" t="s">
        <v>37</v>
      </c>
      <c r="B258" s="26" t="s">
        <v>38</v>
      </c>
      <c r="C258" s="34">
        <v>0</v>
      </c>
      <c r="D258" s="35">
        <v>0</v>
      </c>
    </row>
    <row r="259" spans="1:4">
      <c r="A259" s="26" t="s">
        <v>39</v>
      </c>
      <c r="B259" s="26" t="s">
        <v>40</v>
      </c>
      <c r="C259" s="34">
        <v>0</v>
      </c>
      <c r="D259" s="35">
        <v>0</v>
      </c>
    </row>
    <row r="260" spans="1:4">
      <c r="A260" s="26" t="s">
        <v>41</v>
      </c>
      <c r="B260" s="26" t="s">
        <v>42</v>
      </c>
      <c r="C260" s="34">
        <v>0</v>
      </c>
      <c r="D260" s="35">
        <v>0</v>
      </c>
    </row>
    <row r="261" spans="1:4">
      <c r="A261" s="26" t="s">
        <v>43</v>
      </c>
      <c r="B261" s="26" t="s">
        <v>44</v>
      </c>
      <c r="C261" s="34">
        <v>0</v>
      </c>
      <c r="D261" s="35">
        <v>0</v>
      </c>
    </row>
    <row r="262" spans="1:4">
      <c r="A262" s="658" t="s">
        <v>45</v>
      </c>
      <c r="B262" s="658"/>
      <c r="C262" s="32"/>
      <c r="D262" s="33">
        <f>SUM(D253:D261)</f>
        <v>1280</v>
      </c>
    </row>
    <row r="263" spans="1:4">
      <c r="A263" s="659"/>
      <c r="B263" s="659"/>
      <c r="C263" s="659"/>
      <c r="D263" s="659"/>
    </row>
    <row r="264" spans="1:4" ht="13.9" customHeight="1">
      <c r="A264" s="657" t="s">
        <v>46</v>
      </c>
      <c r="B264" s="657"/>
      <c r="C264" s="657"/>
      <c r="D264" s="657"/>
    </row>
    <row r="265" spans="1:4" ht="13.9" customHeight="1">
      <c r="A265" s="654" t="s">
        <v>47</v>
      </c>
      <c r="B265" s="654"/>
      <c r="C265" s="654"/>
      <c r="D265" s="654"/>
    </row>
    <row r="266" spans="1:4">
      <c r="A266" s="30" t="s">
        <v>23</v>
      </c>
      <c r="B266" s="38" t="s">
        <v>48</v>
      </c>
      <c r="C266" s="31" t="s">
        <v>25</v>
      </c>
      <c r="D266" s="30" t="s">
        <v>26</v>
      </c>
    </row>
    <row r="267" spans="1:4">
      <c r="A267" s="27" t="s">
        <v>49</v>
      </c>
      <c r="B267" s="39" t="s">
        <v>50</v>
      </c>
      <c r="C267" s="40">
        <v>0</v>
      </c>
      <c r="D267" s="41">
        <f t="shared" ref="D267:D275" si="6">C267/100*$D$262</f>
        <v>0</v>
      </c>
    </row>
    <row r="268" spans="1:4">
      <c r="A268" s="27" t="s">
        <v>51</v>
      </c>
      <c r="B268" s="39" t="s">
        <v>52</v>
      </c>
      <c r="C268" s="40">
        <v>1.5</v>
      </c>
      <c r="D268" s="41">
        <f t="shared" si="6"/>
        <v>19.2</v>
      </c>
    </row>
    <row r="269" spans="1:4">
      <c r="A269" s="27" t="s">
        <v>53</v>
      </c>
      <c r="B269" s="39" t="s">
        <v>54</v>
      </c>
      <c r="C269" s="40">
        <v>1</v>
      </c>
      <c r="D269" s="41">
        <f t="shared" si="6"/>
        <v>12.8</v>
      </c>
    </row>
    <row r="270" spans="1:4">
      <c r="A270" s="27" t="s">
        <v>55</v>
      </c>
      <c r="B270" s="39" t="s">
        <v>56</v>
      </c>
      <c r="C270" s="40">
        <v>0.2</v>
      </c>
      <c r="D270" s="41">
        <f t="shared" si="6"/>
        <v>2.56</v>
      </c>
    </row>
    <row r="271" spans="1:4">
      <c r="A271" s="27" t="s">
        <v>57</v>
      </c>
      <c r="B271" s="39" t="s">
        <v>58</v>
      </c>
      <c r="C271" s="40">
        <v>0.6</v>
      </c>
      <c r="D271" s="41">
        <f t="shared" si="6"/>
        <v>7.68</v>
      </c>
    </row>
    <row r="272" spans="1:4">
      <c r="A272" s="27" t="s">
        <v>59</v>
      </c>
      <c r="B272" s="39" t="s">
        <v>60</v>
      </c>
      <c r="C272" s="40">
        <v>2.5</v>
      </c>
      <c r="D272" s="41">
        <f t="shared" si="6"/>
        <v>32</v>
      </c>
    </row>
    <row r="273" spans="1:4">
      <c r="A273" s="27" t="s">
        <v>61</v>
      </c>
      <c r="B273" s="39" t="s">
        <v>62</v>
      </c>
      <c r="C273" s="40">
        <v>3</v>
      </c>
      <c r="D273" s="41">
        <f t="shared" si="6"/>
        <v>38.4</v>
      </c>
    </row>
    <row r="274" spans="1:4">
      <c r="A274" s="27" t="s">
        <v>63</v>
      </c>
      <c r="B274" s="39" t="s">
        <v>64</v>
      </c>
      <c r="C274" s="40">
        <v>8</v>
      </c>
      <c r="D274" s="41">
        <f t="shared" si="6"/>
        <v>102.4</v>
      </c>
    </row>
    <row r="275" spans="1:4">
      <c r="A275" s="27" t="s">
        <v>65</v>
      </c>
      <c r="B275" s="39" t="s">
        <v>66</v>
      </c>
      <c r="C275" s="40">
        <v>1</v>
      </c>
      <c r="D275" s="41">
        <f t="shared" si="6"/>
        <v>12.8</v>
      </c>
    </row>
    <row r="276" spans="1:4">
      <c r="A276" s="27"/>
      <c r="B276" s="42" t="s">
        <v>67</v>
      </c>
      <c r="C276" s="43">
        <f>SUM(C267:C275)</f>
        <v>17.8</v>
      </c>
      <c r="D276" s="44">
        <f>SUM(D267:D275)</f>
        <v>227.84000000000003</v>
      </c>
    </row>
    <row r="277" spans="1:4">
      <c r="A277" s="660" t="s">
        <v>68</v>
      </c>
      <c r="B277" s="660"/>
      <c r="C277" s="660"/>
      <c r="D277" s="660"/>
    </row>
    <row r="278" spans="1:4">
      <c r="A278" s="30" t="s">
        <v>23</v>
      </c>
      <c r="B278" s="38" t="s">
        <v>48</v>
      </c>
      <c r="C278" s="31" t="s">
        <v>25</v>
      </c>
      <c r="D278" s="30" t="s">
        <v>26</v>
      </c>
    </row>
    <row r="279" spans="1:4">
      <c r="A279" s="27" t="s">
        <v>65</v>
      </c>
      <c r="B279" s="26" t="s">
        <v>69</v>
      </c>
      <c r="C279" s="46">
        <v>17.88</v>
      </c>
      <c r="D279" s="41">
        <f t="shared" ref="D279:D288" si="7">C279/100*$D$262</f>
        <v>228.86399999999998</v>
      </c>
    </row>
    <row r="280" spans="1:4">
      <c r="A280" s="27" t="s">
        <v>70</v>
      </c>
      <c r="B280" s="48" t="s">
        <v>71</v>
      </c>
      <c r="C280" s="46">
        <v>3.69</v>
      </c>
      <c r="D280" s="41">
        <f t="shared" si="7"/>
        <v>47.231999999999999</v>
      </c>
    </row>
    <row r="281" spans="1:4">
      <c r="A281" s="27" t="s">
        <v>72</v>
      </c>
      <c r="B281" s="48" t="s">
        <v>73</v>
      </c>
      <c r="C281" s="46">
        <v>0.89</v>
      </c>
      <c r="D281" s="41">
        <f t="shared" si="7"/>
        <v>11.391999999999999</v>
      </c>
    </row>
    <row r="282" spans="1:4">
      <c r="A282" s="27" t="s">
        <v>74</v>
      </c>
      <c r="B282" s="48" t="s">
        <v>75</v>
      </c>
      <c r="C282" s="46">
        <v>10.74</v>
      </c>
      <c r="D282" s="41">
        <f t="shared" si="7"/>
        <v>137.47199999999998</v>
      </c>
    </row>
    <row r="283" spans="1:4">
      <c r="A283" s="27" t="s">
        <v>76</v>
      </c>
      <c r="B283" s="48" t="s">
        <v>77</v>
      </c>
      <c r="C283" s="46">
        <v>7.0000000000000007E-2</v>
      </c>
      <c r="D283" s="41">
        <f t="shared" si="7"/>
        <v>0.89600000000000013</v>
      </c>
    </row>
    <row r="284" spans="1:4">
      <c r="A284" s="27" t="s">
        <v>78</v>
      </c>
      <c r="B284" s="48" t="s">
        <v>79</v>
      </c>
      <c r="C284" s="46">
        <v>0.72</v>
      </c>
      <c r="D284" s="41">
        <f t="shared" si="7"/>
        <v>9.2159999999999993</v>
      </c>
    </row>
    <row r="285" spans="1:4">
      <c r="A285" s="27" t="s">
        <v>80</v>
      </c>
      <c r="B285" s="48" t="s">
        <v>81</v>
      </c>
      <c r="C285" s="46">
        <v>1.77</v>
      </c>
      <c r="D285" s="41">
        <f t="shared" si="7"/>
        <v>22.655999999999999</v>
      </c>
    </row>
    <row r="286" spans="1:4">
      <c r="A286" s="27" t="s">
        <v>82</v>
      </c>
      <c r="B286" s="48" t="s">
        <v>83</v>
      </c>
      <c r="C286" s="46">
        <v>0.11</v>
      </c>
      <c r="D286" s="41">
        <f t="shared" si="7"/>
        <v>1.4080000000000001</v>
      </c>
    </row>
    <row r="287" spans="1:4">
      <c r="A287" s="27" t="s">
        <v>84</v>
      </c>
      <c r="B287" s="48" t="s">
        <v>85</v>
      </c>
      <c r="C287" s="46">
        <v>7.52</v>
      </c>
      <c r="D287" s="41">
        <f t="shared" si="7"/>
        <v>96.255999999999986</v>
      </c>
    </row>
    <row r="288" spans="1:4">
      <c r="A288" s="27" t="s">
        <v>86</v>
      </c>
      <c r="B288" s="48" t="s">
        <v>87</v>
      </c>
      <c r="C288" s="46">
        <v>0.03</v>
      </c>
      <c r="D288" s="41">
        <f t="shared" si="7"/>
        <v>0.38399999999999995</v>
      </c>
    </row>
    <row r="289" spans="1:4">
      <c r="A289" s="27"/>
      <c r="B289" s="36" t="s">
        <v>88</v>
      </c>
      <c r="C289" s="43">
        <f>SUM(C279:C288)</f>
        <v>43.42</v>
      </c>
      <c r="D289" s="49">
        <f>SUM(D279:D288)</f>
        <v>555.77600000000007</v>
      </c>
    </row>
    <row r="290" spans="1:4">
      <c r="A290" s="660" t="s">
        <v>89</v>
      </c>
      <c r="B290" s="660"/>
      <c r="C290" s="660"/>
      <c r="D290" s="660"/>
    </row>
    <row r="291" spans="1:4">
      <c r="A291" s="50" t="s">
        <v>23</v>
      </c>
      <c r="B291" s="51" t="s">
        <v>48</v>
      </c>
      <c r="C291" s="52" t="s">
        <v>25</v>
      </c>
      <c r="D291" s="50" t="s">
        <v>26</v>
      </c>
    </row>
    <row r="292" spans="1:4">
      <c r="A292" s="50" t="s">
        <v>82</v>
      </c>
      <c r="B292" s="53" t="s">
        <v>90</v>
      </c>
      <c r="C292" s="54">
        <v>4.53</v>
      </c>
      <c r="D292" s="41">
        <f>C292/100*$D$262</f>
        <v>57.984000000000002</v>
      </c>
    </row>
    <row r="293" spans="1:4">
      <c r="A293" s="50" t="s">
        <v>84</v>
      </c>
      <c r="B293" s="48" t="s">
        <v>91</v>
      </c>
      <c r="C293" s="54">
        <v>0.11</v>
      </c>
      <c r="D293" s="41">
        <f>C293/100*$D$262</f>
        <v>1.4080000000000001</v>
      </c>
    </row>
    <row r="294" spans="1:4">
      <c r="A294" s="50" t="s">
        <v>86</v>
      </c>
      <c r="B294" s="48" t="s">
        <v>92</v>
      </c>
      <c r="C294" s="54">
        <v>5.59</v>
      </c>
      <c r="D294" s="41">
        <f>C294/100*$D$262</f>
        <v>71.551999999999992</v>
      </c>
    </row>
    <row r="295" spans="1:4">
      <c r="A295" s="50" t="s">
        <v>93</v>
      </c>
      <c r="B295" s="48" t="s">
        <v>94</v>
      </c>
      <c r="C295" s="56">
        <v>4.71</v>
      </c>
      <c r="D295" s="41">
        <f>C295/100*$D$262</f>
        <v>60.288000000000004</v>
      </c>
    </row>
    <row r="296" spans="1:4">
      <c r="A296" s="50" t="s">
        <v>95</v>
      </c>
      <c r="B296" s="48" t="s">
        <v>96</v>
      </c>
      <c r="C296" s="56">
        <v>0.38</v>
      </c>
      <c r="D296" s="41">
        <f>C296/100*$D$262</f>
        <v>4.8639999999999999</v>
      </c>
    </row>
    <row r="297" spans="1:4">
      <c r="A297" s="54"/>
      <c r="B297" s="57" t="s">
        <v>97</v>
      </c>
      <c r="C297" s="58">
        <f>SUM(C292:C296)</f>
        <v>15.320000000000002</v>
      </c>
      <c r="D297" s="59">
        <f>C297/100*D262</f>
        <v>196.09600000000003</v>
      </c>
    </row>
    <row r="298" spans="1:4">
      <c r="A298" s="661" t="s">
        <v>98</v>
      </c>
      <c r="B298" s="661"/>
      <c r="C298" s="661"/>
      <c r="D298" s="661"/>
    </row>
    <row r="299" spans="1:4">
      <c r="A299" s="50" t="s">
        <v>23</v>
      </c>
      <c r="B299" s="51" t="s">
        <v>48</v>
      </c>
      <c r="C299" s="52" t="s">
        <v>25</v>
      </c>
      <c r="D299" s="50" t="s">
        <v>26</v>
      </c>
    </row>
    <row r="300" spans="1:4">
      <c r="A300" s="50"/>
      <c r="B300" s="60" t="s">
        <v>99</v>
      </c>
      <c r="C300" s="52">
        <v>7.73</v>
      </c>
      <c r="D300" s="61">
        <f>C300/100*$D$20</f>
        <v>125.31876000000001</v>
      </c>
    </row>
    <row r="301" spans="1:4" ht="23.25">
      <c r="A301" s="62" t="s">
        <v>100</v>
      </c>
      <c r="B301" s="63" t="s">
        <v>101</v>
      </c>
      <c r="C301" s="56">
        <v>0.38</v>
      </c>
      <c r="D301" s="61">
        <f>C301/100*$D$20</f>
        <v>6.1605600000000003</v>
      </c>
    </row>
    <row r="302" spans="1:4">
      <c r="A302" s="62"/>
      <c r="B302" s="57" t="s">
        <v>102</v>
      </c>
      <c r="C302" s="58">
        <f>SUM(C300:C301)</f>
        <v>8.1100000000000012</v>
      </c>
      <c r="D302" s="64">
        <f>SUM(D300:D301)</f>
        <v>131.47932</v>
      </c>
    </row>
    <row r="303" spans="1:4">
      <c r="A303" s="62"/>
      <c r="B303" s="53" t="s">
        <v>103</v>
      </c>
      <c r="C303" s="65">
        <f>C276+C289+C297+C302</f>
        <v>84.65</v>
      </c>
      <c r="D303" s="66">
        <f>D276+D289+D297+D302</f>
        <v>1111.1913200000001</v>
      </c>
    </row>
    <row r="304" spans="1:4">
      <c r="A304" s="62"/>
      <c r="B304" s="67" t="s">
        <v>104</v>
      </c>
      <c r="C304" s="68"/>
      <c r="D304" s="69">
        <f>D262+D303</f>
        <v>2391.1913199999999</v>
      </c>
    </row>
    <row r="305" spans="1:4">
      <c r="A305" s="21"/>
      <c r="B305" s="21"/>
      <c r="C305" s="21"/>
      <c r="D305" s="21"/>
    </row>
    <row r="306" spans="1:4">
      <c r="A306" s="660" t="s">
        <v>105</v>
      </c>
      <c r="B306" s="660"/>
      <c r="C306" s="660"/>
      <c r="D306" s="660"/>
    </row>
    <row r="307" spans="1:4" ht="22.5">
      <c r="A307" s="71" t="s">
        <v>23</v>
      </c>
      <c r="B307" s="71" t="s">
        <v>106</v>
      </c>
      <c r="C307" s="72" t="s">
        <v>107</v>
      </c>
      <c r="D307" s="30" t="s">
        <v>26</v>
      </c>
    </row>
    <row r="308" spans="1:4" ht="23.25">
      <c r="A308" s="26">
        <v>1</v>
      </c>
      <c r="B308" s="37" t="s">
        <v>139</v>
      </c>
      <c r="C308" s="46">
        <f>D308/D262*100</f>
        <v>0.67447916666666663</v>
      </c>
      <c r="D308" s="35">
        <f>(2*51.8)/12</f>
        <v>8.6333333333333329</v>
      </c>
    </row>
    <row r="309" spans="1:4">
      <c r="A309" s="26">
        <f t="shared" ref="A309:A316" si="8">A308+1</f>
        <v>2</v>
      </c>
      <c r="B309" s="26" t="s">
        <v>114</v>
      </c>
      <c r="C309" s="75">
        <f>D309/D262*100</f>
        <v>0</v>
      </c>
      <c r="D309" s="76">
        <v>0</v>
      </c>
    </row>
    <row r="310" spans="1:4">
      <c r="A310" s="26">
        <f t="shared" si="8"/>
        <v>3</v>
      </c>
      <c r="B310" s="26" t="s">
        <v>115</v>
      </c>
      <c r="C310" s="77">
        <f>D310/D262*100</f>
        <v>0</v>
      </c>
      <c r="D310" s="47">
        <v>0</v>
      </c>
    </row>
    <row r="311" spans="1:4">
      <c r="A311" s="26">
        <f t="shared" si="8"/>
        <v>4</v>
      </c>
      <c r="B311" s="26" t="s">
        <v>116</v>
      </c>
      <c r="C311" s="77">
        <v>0</v>
      </c>
      <c r="D311" s="47">
        <v>0</v>
      </c>
    </row>
    <row r="312" spans="1:4">
      <c r="A312" s="26">
        <f t="shared" si="8"/>
        <v>5</v>
      </c>
      <c r="B312" s="26" t="s">
        <v>117</v>
      </c>
      <c r="C312" s="77">
        <v>0.5</v>
      </c>
      <c r="D312" s="47">
        <f>C312/100*D262</f>
        <v>6.4</v>
      </c>
    </row>
    <row r="313" spans="1:4">
      <c r="A313" s="26">
        <f t="shared" si="8"/>
        <v>6</v>
      </c>
      <c r="B313" s="26" t="s">
        <v>118</v>
      </c>
      <c r="C313" s="77">
        <v>0</v>
      </c>
      <c r="D313" s="47">
        <f>C313/100*D262</f>
        <v>0</v>
      </c>
    </row>
    <row r="314" spans="1:4">
      <c r="A314" s="26">
        <f t="shared" si="8"/>
        <v>7</v>
      </c>
      <c r="B314" s="26" t="s">
        <v>133</v>
      </c>
      <c r="C314" s="77">
        <f>D314/D262*100</f>
        <v>0.19282670454545459</v>
      </c>
      <c r="D314" s="47">
        <f>(6516/22)/12*0.1</f>
        <v>2.4681818181818187</v>
      </c>
    </row>
    <row r="315" spans="1:4">
      <c r="A315" s="26">
        <f t="shared" si="8"/>
        <v>8</v>
      </c>
      <c r="B315" s="26" t="s">
        <v>120</v>
      </c>
      <c r="C315" s="77">
        <v>0</v>
      </c>
      <c r="D315" s="47">
        <v>0</v>
      </c>
    </row>
    <row r="316" spans="1:4">
      <c r="A316" s="26">
        <f t="shared" si="8"/>
        <v>9</v>
      </c>
      <c r="B316" s="26" t="s">
        <v>134</v>
      </c>
      <c r="C316" s="77">
        <v>0</v>
      </c>
      <c r="D316" s="47">
        <v>0</v>
      </c>
    </row>
    <row r="317" spans="1:4">
      <c r="A317" s="26"/>
      <c r="B317" s="78" t="s">
        <v>122</v>
      </c>
      <c r="C317" s="79">
        <f>SUM(C308:C316)</f>
        <v>1.3673058712121211</v>
      </c>
      <c r="D317" s="80">
        <f>SUM(D308:D316)</f>
        <v>17.50151515151515</v>
      </c>
    </row>
    <row r="318" spans="1:4">
      <c r="A318" s="21"/>
      <c r="B318" s="21"/>
      <c r="C318" s="21"/>
      <c r="D318" s="21"/>
    </row>
    <row r="319" spans="1:4">
      <c r="A319" s="87"/>
      <c r="B319" s="83" t="s">
        <v>123</v>
      </c>
      <c r="C319" s="83"/>
      <c r="D319" s="21"/>
    </row>
    <row r="320" spans="1:4">
      <c r="A320" s="84"/>
      <c r="B320" s="85" t="s">
        <v>124</v>
      </c>
      <c r="C320" s="86">
        <f>(D304+D317)*(1+BDI!$B$12)</f>
        <v>3020.0024650382447</v>
      </c>
      <c r="D320" s="87"/>
    </row>
    <row r="321" spans="1:5">
      <c r="A321" s="21"/>
      <c r="B321" s="21"/>
      <c r="C321" s="21"/>
      <c r="D321" s="21"/>
    </row>
    <row r="322" spans="1:5">
      <c r="A322" s="21"/>
      <c r="B322" s="21"/>
      <c r="C322" s="21"/>
      <c r="D322" s="21"/>
    </row>
    <row r="323" spans="1:5" s="92" customFormat="1">
      <c r="A323" s="82"/>
      <c r="B323" s="82"/>
      <c r="C323" s="82"/>
      <c r="D323" s="82"/>
      <c r="E323" s="115"/>
    </row>
    <row r="324" spans="1:5" s="92" customFormat="1">
      <c r="A324" s="93"/>
      <c r="B324" s="93"/>
      <c r="C324" s="93"/>
      <c r="D324" s="81"/>
      <c r="E324" s="115"/>
    </row>
    <row r="325" spans="1:5" s="92" customFormat="1">
      <c r="A325" s="93"/>
      <c r="B325" s="93"/>
      <c r="C325" s="93"/>
      <c r="D325" s="81"/>
      <c r="E325" s="115"/>
    </row>
    <row r="326" spans="1:5" s="92" customFormat="1">
      <c r="A326" s="93"/>
      <c r="B326" s="93"/>
      <c r="C326" s="93"/>
      <c r="D326" s="94"/>
      <c r="E326" s="115"/>
    </row>
    <row r="327" spans="1:5" s="92" customFormat="1">
      <c r="A327" s="93"/>
      <c r="B327" s="93"/>
      <c r="C327" s="93"/>
      <c r="D327" s="95"/>
      <c r="E327" s="115"/>
    </row>
    <row r="328" spans="1:5" s="92" customFormat="1">
      <c r="A328" s="82"/>
      <c r="B328" s="82"/>
      <c r="C328" s="82"/>
      <c r="D328" s="82"/>
      <c r="E328" s="115"/>
    </row>
    <row r="329" spans="1:5" s="92" customFormat="1">
      <c r="A329" s="82"/>
      <c r="B329" s="93"/>
      <c r="C329" s="93"/>
      <c r="D329" s="93"/>
      <c r="E329" s="115"/>
    </row>
    <row r="330" spans="1:5" s="92" customFormat="1">
      <c r="A330" s="96"/>
      <c r="B330" s="96"/>
      <c r="C330" s="96"/>
      <c r="D330" s="96"/>
      <c r="E330" s="115"/>
    </row>
    <row r="331" spans="1:5" s="92" customFormat="1">
      <c r="A331" s="93"/>
      <c r="B331" s="93"/>
      <c r="C331" s="81"/>
      <c r="D331" s="97"/>
      <c r="E331" s="115"/>
    </row>
    <row r="332" spans="1:5" s="92" customFormat="1">
      <c r="A332" s="93"/>
      <c r="B332" s="93"/>
      <c r="C332" s="98"/>
      <c r="D332" s="99"/>
      <c r="E332" s="115"/>
    </row>
    <row r="333" spans="1:5" s="92" customFormat="1">
      <c r="A333" s="93"/>
      <c r="B333" s="93"/>
      <c r="C333" s="98"/>
      <c r="D333" s="99"/>
      <c r="E333" s="115"/>
    </row>
    <row r="334" spans="1:5" s="92" customFormat="1">
      <c r="A334" s="93"/>
      <c r="B334" s="93"/>
      <c r="C334" s="98"/>
      <c r="D334" s="99"/>
      <c r="E334" s="115"/>
    </row>
    <row r="335" spans="1:5" s="92" customFormat="1">
      <c r="A335" s="93"/>
      <c r="B335" s="93"/>
      <c r="C335" s="98"/>
      <c r="D335" s="99"/>
      <c r="E335" s="115"/>
    </row>
    <row r="336" spans="1:5" s="92" customFormat="1">
      <c r="A336" s="93"/>
      <c r="B336" s="93"/>
      <c r="C336" s="98"/>
      <c r="D336" s="99"/>
      <c r="E336" s="115"/>
    </row>
    <row r="337" spans="1:5" s="92" customFormat="1">
      <c r="A337" s="93"/>
      <c r="B337" s="93"/>
      <c r="C337" s="98"/>
      <c r="D337" s="99"/>
      <c r="E337" s="115"/>
    </row>
    <row r="338" spans="1:5" s="92" customFormat="1">
      <c r="A338" s="93"/>
      <c r="B338" s="93"/>
      <c r="C338" s="98"/>
      <c r="D338" s="99"/>
      <c r="E338" s="115"/>
    </row>
    <row r="339" spans="1:5" s="92" customFormat="1">
      <c r="A339" s="93"/>
      <c r="B339" s="93"/>
      <c r="C339" s="98"/>
      <c r="D339" s="99"/>
      <c r="E339" s="115"/>
    </row>
    <row r="340" spans="1:5" s="92" customFormat="1">
      <c r="A340" s="82"/>
      <c r="B340" s="82"/>
      <c r="C340" s="81"/>
      <c r="D340" s="97"/>
      <c r="E340" s="115"/>
    </row>
    <row r="341" spans="1:5" s="92" customFormat="1">
      <c r="A341" s="93"/>
      <c r="B341" s="93"/>
      <c r="C341" s="93"/>
      <c r="D341" s="93"/>
      <c r="E341" s="115"/>
    </row>
    <row r="342" spans="1:5" s="92" customFormat="1">
      <c r="A342" s="82"/>
      <c r="B342" s="93"/>
      <c r="C342" s="93"/>
      <c r="D342" s="93"/>
      <c r="E342" s="115"/>
    </row>
    <row r="343" spans="1:5" s="92" customFormat="1">
      <c r="A343" s="82"/>
      <c r="B343" s="82"/>
      <c r="C343" s="82"/>
      <c r="D343" s="82"/>
      <c r="E343" s="115"/>
    </row>
    <row r="344" spans="1:5" s="92" customFormat="1">
      <c r="A344" s="100"/>
      <c r="B344" s="100"/>
      <c r="C344" s="96"/>
      <c r="D344" s="96"/>
      <c r="E344" s="115"/>
    </row>
    <row r="345" spans="1:5" s="92" customFormat="1">
      <c r="A345" s="93"/>
      <c r="B345" s="93"/>
      <c r="C345" s="98"/>
      <c r="D345" s="101"/>
      <c r="E345" s="115"/>
    </row>
    <row r="346" spans="1:5" s="92" customFormat="1">
      <c r="A346" s="93"/>
      <c r="B346" s="93"/>
      <c r="C346" s="98"/>
      <c r="D346" s="101"/>
      <c r="E346" s="115"/>
    </row>
    <row r="347" spans="1:5" s="92" customFormat="1">
      <c r="A347" s="93"/>
      <c r="B347" s="93"/>
      <c r="C347" s="98"/>
      <c r="D347" s="101"/>
      <c r="E347" s="115"/>
    </row>
    <row r="348" spans="1:5" s="92" customFormat="1">
      <c r="A348" s="93"/>
      <c r="B348" s="93"/>
      <c r="C348" s="98"/>
      <c r="D348" s="101"/>
      <c r="E348" s="115"/>
    </row>
    <row r="349" spans="1:5" s="92" customFormat="1">
      <c r="A349" s="93"/>
      <c r="B349" s="93"/>
      <c r="C349" s="98"/>
      <c r="D349" s="101"/>
      <c r="E349" s="115"/>
    </row>
    <row r="350" spans="1:5" s="92" customFormat="1">
      <c r="A350" s="93"/>
      <c r="B350" s="93"/>
      <c r="C350" s="98"/>
      <c r="D350" s="101"/>
      <c r="E350" s="115"/>
    </row>
    <row r="351" spans="1:5" s="92" customFormat="1">
      <c r="A351" s="93"/>
      <c r="B351" s="93"/>
      <c r="C351" s="98"/>
      <c r="D351" s="101"/>
      <c r="E351" s="115"/>
    </row>
    <row r="352" spans="1:5" s="92" customFormat="1">
      <c r="A352" s="93"/>
      <c r="B352" s="93"/>
      <c r="C352" s="98"/>
      <c r="D352" s="101"/>
      <c r="E352" s="115"/>
    </row>
    <row r="353" spans="1:5" s="92" customFormat="1">
      <c r="A353" s="93"/>
      <c r="B353" s="82"/>
      <c r="C353" s="102"/>
      <c r="D353" s="103"/>
      <c r="E353" s="115"/>
    </row>
    <row r="354" spans="1:5" s="92" customFormat="1">
      <c r="A354" s="82"/>
      <c r="B354" s="82"/>
      <c r="C354" s="82"/>
      <c r="D354" s="82"/>
      <c r="E354" s="115"/>
    </row>
    <row r="355" spans="1:5" s="92" customFormat="1">
      <c r="A355" s="100"/>
      <c r="B355" s="100"/>
      <c r="C355" s="96"/>
      <c r="D355" s="96"/>
      <c r="E355" s="115"/>
    </row>
    <row r="356" spans="1:5" s="92" customFormat="1">
      <c r="A356" s="93"/>
      <c r="B356" s="93"/>
      <c r="C356" s="94"/>
      <c r="D356" s="101"/>
      <c r="E356" s="115"/>
    </row>
    <row r="357" spans="1:5" s="92" customFormat="1">
      <c r="A357" s="93"/>
      <c r="B357" s="93"/>
      <c r="C357" s="94"/>
      <c r="D357" s="101"/>
      <c r="E357" s="115"/>
    </row>
    <row r="358" spans="1:5" s="92" customFormat="1">
      <c r="A358" s="93"/>
      <c r="B358" s="93"/>
      <c r="C358" s="94"/>
      <c r="D358" s="101"/>
      <c r="E358" s="115"/>
    </row>
    <row r="359" spans="1:5" s="92" customFormat="1">
      <c r="A359" s="93"/>
      <c r="B359" s="93"/>
      <c r="C359" s="94"/>
      <c r="D359" s="101"/>
      <c r="E359" s="115"/>
    </row>
    <row r="360" spans="1:5" s="92" customFormat="1">
      <c r="A360" s="93"/>
      <c r="B360" s="93"/>
      <c r="C360" s="94"/>
      <c r="D360" s="101"/>
      <c r="E360" s="115"/>
    </row>
    <row r="361" spans="1:5" s="92" customFormat="1">
      <c r="A361" s="93"/>
      <c r="B361" s="93"/>
      <c r="C361" s="94"/>
      <c r="D361" s="101"/>
      <c r="E361" s="115"/>
    </row>
    <row r="362" spans="1:5" s="92" customFormat="1">
      <c r="A362" s="93"/>
      <c r="B362" s="93"/>
      <c r="C362" s="94"/>
      <c r="D362" s="101"/>
      <c r="E362" s="115"/>
    </row>
    <row r="363" spans="1:5" s="92" customFormat="1">
      <c r="A363" s="93"/>
      <c r="B363" s="82"/>
      <c r="C363" s="102"/>
      <c r="D363" s="103"/>
      <c r="E363" s="115"/>
    </row>
    <row r="364" spans="1:5" s="92" customFormat="1">
      <c r="A364" s="82"/>
      <c r="B364" s="82"/>
      <c r="C364" s="82"/>
      <c r="D364" s="82"/>
      <c r="E364" s="115"/>
    </row>
    <row r="365" spans="1:5" s="92" customFormat="1">
      <c r="A365" s="100"/>
      <c r="B365" s="100"/>
      <c r="C365" s="96"/>
      <c r="D365" s="96"/>
      <c r="E365" s="115"/>
    </row>
    <row r="366" spans="1:5" s="92" customFormat="1">
      <c r="A366" s="104"/>
      <c r="B366" s="104"/>
      <c r="C366" s="105"/>
      <c r="D366" s="106"/>
      <c r="E366" s="115"/>
    </row>
    <row r="367" spans="1:5" s="92" customFormat="1">
      <c r="A367" s="104"/>
      <c r="B367" s="104"/>
      <c r="C367" s="105"/>
      <c r="D367" s="106"/>
      <c r="E367" s="115"/>
    </row>
    <row r="368" spans="1:5" s="92" customFormat="1">
      <c r="A368" s="104"/>
      <c r="B368" s="104"/>
      <c r="C368" s="105"/>
      <c r="D368" s="106"/>
      <c r="E368" s="115"/>
    </row>
    <row r="369" spans="1:5" s="92" customFormat="1">
      <c r="A369" s="104"/>
      <c r="B369" s="107"/>
      <c r="C369" s="108"/>
      <c r="D369" s="109"/>
      <c r="E369" s="115"/>
    </row>
    <row r="370" spans="1:5" s="92" customFormat="1">
      <c r="A370" s="107"/>
      <c r="B370" s="107"/>
      <c r="C370" s="107"/>
      <c r="D370" s="107"/>
      <c r="E370" s="115"/>
    </row>
    <row r="371" spans="1:5" s="92" customFormat="1">
      <c r="A371" s="110"/>
      <c r="B371" s="110"/>
      <c r="C371" s="111"/>
      <c r="D371" s="111"/>
      <c r="E371" s="115"/>
    </row>
    <row r="372" spans="1:5" s="92" customFormat="1">
      <c r="A372" s="104"/>
      <c r="B372" s="104"/>
      <c r="C372" s="105"/>
      <c r="D372" s="106"/>
      <c r="E372" s="115"/>
    </row>
    <row r="373" spans="1:5" s="92" customFormat="1">
      <c r="A373" s="104"/>
      <c r="B373" s="107"/>
      <c r="C373" s="108"/>
      <c r="D373" s="109"/>
      <c r="E373" s="115"/>
    </row>
    <row r="374" spans="1:5" s="92" customFormat="1">
      <c r="A374" s="104"/>
      <c r="B374" s="104"/>
      <c r="C374" s="108"/>
      <c r="D374" s="112"/>
      <c r="E374" s="115"/>
    </row>
    <row r="375" spans="1:5" s="92" customFormat="1">
      <c r="A375" s="93"/>
      <c r="B375" s="113"/>
      <c r="C375" s="84"/>
      <c r="D375" s="114"/>
      <c r="E375" s="115"/>
    </row>
    <row r="376" spans="1:5" s="92" customFormat="1">
      <c r="A376" s="93"/>
      <c r="B376" s="115"/>
      <c r="C376" s="115"/>
      <c r="D376" s="115"/>
      <c r="E376" s="115"/>
    </row>
    <row r="377" spans="1:5" s="92" customFormat="1">
      <c r="A377" s="82"/>
      <c r="B377" s="113"/>
      <c r="C377" s="113"/>
      <c r="D377" s="113"/>
      <c r="E377" s="115"/>
    </row>
    <row r="378" spans="1:5" s="92" customFormat="1">
      <c r="A378" s="100"/>
      <c r="B378" s="116"/>
      <c r="C378" s="117"/>
      <c r="D378" s="118"/>
      <c r="E378" s="115"/>
    </row>
    <row r="379" spans="1:5" s="92" customFormat="1">
      <c r="A379" s="93"/>
      <c r="B379" s="115"/>
      <c r="C379" s="119"/>
      <c r="D379" s="120"/>
      <c r="E379" s="115"/>
    </row>
    <row r="380" spans="1:5" s="92" customFormat="1">
      <c r="A380" s="93"/>
      <c r="B380" s="115"/>
      <c r="C380" s="119"/>
      <c r="D380" s="121"/>
      <c r="E380" s="115"/>
    </row>
    <row r="381" spans="1:5" s="92" customFormat="1">
      <c r="A381" s="93"/>
      <c r="B381" s="115"/>
      <c r="C381" s="119"/>
      <c r="D381" s="106"/>
      <c r="E381" s="115"/>
    </row>
    <row r="382" spans="1:5" s="92" customFormat="1">
      <c r="A382" s="93"/>
      <c r="B382" s="115"/>
      <c r="C382" s="119"/>
      <c r="D382" s="121"/>
      <c r="E382" s="115"/>
    </row>
    <row r="383" spans="1:5" s="92" customFormat="1">
      <c r="A383" s="93"/>
      <c r="B383" s="115"/>
      <c r="C383" s="119"/>
      <c r="D383" s="121"/>
      <c r="E383" s="115"/>
    </row>
    <row r="384" spans="1:5" s="92" customFormat="1">
      <c r="A384" s="93"/>
      <c r="B384" s="115"/>
      <c r="C384" s="119"/>
      <c r="D384" s="121"/>
      <c r="E384" s="115"/>
    </row>
    <row r="385" spans="1:5" s="92" customFormat="1">
      <c r="A385" s="93"/>
      <c r="B385" s="115"/>
      <c r="C385" s="119"/>
      <c r="D385" s="121"/>
      <c r="E385" s="115"/>
    </row>
    <row r="386" spans="1:5" s="92" customFormat="1">
      <c r="A386" s="93"/>
      <c r="B386" s="115"/>
      <c r="C386" s="119"/>
      <c r="D386" s="121"/>
      <c r="E386" s="115"/>
    </row>
    <row r="387" spans="1:5" s="92" customFormat="1">
      <c r="A387" s="93"/>
      <c r="B387" s="115"/>
      <c r="C387" s="119"/>
      <c r="D387" s="121"/>
      <c r="E387" s="115"/>
    </row>
    <row r="388" spans="1:5" s="92" customFormat="1">
      <c r="A388" s="93"/>
      <c r="B388" s="115"/>
      <c r="C388" s="119"/>
      <c r="D388" s="122"/>
      <c r="E388" s="115"/>
    </row>
    <row r="389" spans="1:5" s="92" customFormat="1">
      <c r="A389" s="93"/>
      <c r="B389" s="113"/>
      <c r="C389" s="123"/>
      <c r="D389" s="124"/>
      <c r="E389" s="115"/>
    </row>
    <row r="390" spans="1:5" s="92" customFormat="1">
      <c r="A390" s="93"/>
      <c r="B390" s="115"/>
      <c r="C390" s="115"/>
      <c r="D390" s="115"/>
      <c r="E390" s="115"/>
    </row>
    <row r="391" spans="1:5" s="92" customFormat="1">
      <c r="A391" s="82"/>
      <c r="B391" s="116"/>
      <c r="C391" s="118"/>
      <c r="D391" s="113"/>
      <c r="E391" s="115"/>
    </row>
    <row r="392" spans="1:5" s="92" customFormat="1">
      <c r="A392" s="81"/>
      <c r="B392" s="113"/>
      <c r="C392" s="113"/>
      <c r="D392" s="118"/>
      <c r="E392" s="115"/>
    </row>
    <row r="393" spans="1:5" s="92" customFormat="1">
      <c r="A393" s="81"/>
      <c r="B393" s="115"/>
      <c r="C393" s="119"/>
      <c r="D393" s="121"/>
      <c r="E393" s="115"/>
    </row>
    <row r="394" spans="1:5" s="92" customFormat="1">
      <c r="A394" s="81"/>
      <c r="B394" s="115"/>
      <c r="C394" s="119"/>
      <c r="D394" s="121"/>
      <c r="E394" s="115"/>
    </row>
    <row r="395" spans="1:5" s="92" customFormat="1">
      <c r="A395" s="81"/>
      <c r="B395" s="113"/>
      <c r="C395" s="123"/>
      <c r="D395" s="124"/>
      <c r="E395" s="115"/>
    </row>
    <row r="396" spans="1:5" s="92" customFormat="1">
      <c r="A396" s="81"/>
      <c r="B396" s="115"/>
      <c r="C396" s="119"/>
      <c r="D396" s="115"/>
      <c r="E396" s="115"/>
    </row>
    <row r="397" spans="1:5" s="92" customFormat="1">
      <c r="A397" s="81"/>
      <c r="B397" s="115"/>
      <c r="C397" s="119"/>
      <c r="D397" s="124"/>
      <c r="E397" s="115"/>
    </row>
    <row r="398" spans="1:5" s="92" customFormat="1">
      <c r="A398" s="82"/>
      <c r="B398" s="115"/>
      <c r="C398" s="119"/>
      <c r="D398" s="113"/>
      <c r="E398" s="115"/>
    </row>
    <row r="399" spans="1:5" s="92" customFormat="1">
      <c r="A399" s="125"/>
      <c r="B399" s="115"/>
      <c r="C399" s="119"/>
      <c r="D399" s="118"/>
      <c r="E399" s="115"/>
    </row>
    <row r="400" spans="1:5" s="92" customFormat="1">
      <c r="A400" s="81"/>
      <c r="B400" s="115"/>
      <c r="C400" s="119"/>
      <c r="D400" s="121"/>
      <c r="E400" s="115"/>
    </row>
    <row r="401" spans="1:5" s="92" customFormat="1">
      <c r="A401" s="81"/>
      <c r="B401" s="113"/>
      <c r="C401" s="123"/>
      <c r="D401" s="121"/>
      <c r="E401" s="115"/>
    </row>
    <row r="402" spans="1:5" s="92" customFormat="1">
      <c r="A402" s="81"/>
      <c r="B402" s="115"/>
      <c r="C402" s="115"/>
      <c r="D402" s="115"/>
      <c r="E402" s="115"/>
    </row>
    <row r="403" spans="1:5" s="92" customFormat="1">
      <c r="A403" s="81"/>
      <c r="B403" s="115"/>
      <c r="C403" s="115"/>
      <c r="D403" s="121"/>
      <c r="E403" s="115"/>
    </row>
    <row r="404" spans="1:5" s="92" customFormat="1">
      <c r="A404" s="81"/>
      <c r="B404" s="126"/>
      <c r="C404" s="87"/>
      <c r="D404" s="121"/>
      <c r="E404" s="115"/>
    </row>
    <row r="405" spans="1:5" s="92" customFormat="1">
      <c r="A405" s="81"/>
      <c r="B405" s="127"/>
      <c r="C405" s="119"/>
      <c r="D405" s="124"/>
      <c r="E405" s="115"/>
    </row>
    <row r="406" spans="1:5" s="92" customFormat="1">
      <c r="A406" s="81"/>
      <c r="B406" s="127"/>
      <c r="C406" s="119"/>
      <c r="D406" s="124"/>
      <c r="E406" s="115"/>
    </row>
    <row r="407" spans="1:5" s="92" customFormat="1">
      <c r="A407" s="81"/>
      <c r="B407" s="127"/>
      <c r="C407" s="119"/>
      <c r="D407" s="115"/>
      <c r="E407" s="115"/>
    </row>
    <row r="408" spans="1:5" s="92" customFormat="1">
      <c r="A408" s="81"/>
      <c r="B408" s="115"/>
      <c r="C408" s="128"/>
      <c r="D408" s="115"/>
      <c r="E408" s="115"/>
    </row>
    <row r="409" spans="1:5" s="92" customFormat="1">
      <c r="A409" s="81"/>
      <c r="B409" s="115"/>
      <c r="C409" s="115"/>
      <c r="D409" s="113"/>
      <c r="E409" s="115"/>
    </row>
    <row r="410" spans="1:5" s="92" customFormat="1">
      <c r="A410" s="87"/>
      <c r="B410" s="113"/>
      <c r="C410" s="113"/>
      <c r="D410" s="115"/>
      <c r="E410" s="115"/>
    </row>
    <row r="411" spans="1:5" s="92" customFormat="1" ht="15" customHeight="1">
      <c r="A411" s="84"/>
      <c r="B411" s="115"/>
      <c r="C411" s="129"/>
      <c r="D411" s="87"/>
      <c r="E411" s="115"/>
    </row>
    <row r="412" spans="1:5">
      <c r="A412" s="84"/>
      <c r="B412" s="130"/>
      <c r="C412" s="130"/>
      <c r="D412" s="84"/>
    </row>
    <row r="413" spans="1:5">
      <c r="A413" s="21"/>
      <c r="B413" s="130"/>
      <c r="C413" s="130"/>
      <c r="D413" s="130"/>
    </row>
    <row r="414" spans="1:5">
      <c r="A414" s="21"/>
      <c r="B414" s="130"/>
      <c r="C414" s="130"/>
      <c r="D414" s="130"/>
    </row>
    <row r="415" spans="1:5">
      <c r="A415" s="21"/>
      <c r="B415" s="130"/>
      <c r="C415" s="130"/>
      <c r="D415" s="130"/>
    </row>
    <row r="416" spans="1:5">
      <c r="A416" s="21"/>
      <c r="B416" s="130"/>
      <c r="C416" s="130"/>
      <c r="D416" s="130"/>
    </row>
    <row r="417" spans="1:4">
      <c r="A417" s="21"/>
      <c r="B417" s="130"/>
      <c r="C417" s="130"/>
      <c r="D417" s="130"/>
    </row>
    <row r="418" spans="1:4">
      <c r="A418" s="21"/>
      <c r="B418" s="130"/>
      <c r="C418" s="130"/>
      <c r="D418" s="130"/>
    </row>
    <row r="419" spans="1:4">
      <c r="A419" s="21"/>
      <c r="B419" s="130"/>
      <c r="C419" s="130"/>
      <c r="D419" s="130"/>
    </row>
    <row r="420" spans="1:4">
      <c r="A420" s="21"/>
      <c r="B420" s="130"/>
      <c r="C420" s="130"/>
      <c r="D420" s="130"/>
    </row>
    <row r="421" spans="1:4">
      <c r="A421" s="21"/>
      <c r="B421" s="130"/>
      <c r="C421" s="130"/>
      <c r="D421" s="130"/>
    </row>
    <row r="422" spans="1:4">
      <c r="A422" s="21"/>
      <c r="B422" s="130"/>
      <c r="C422" s="130"/>
      <c r="D422" s="130"/>
    </row>
    <row r="423" spans="1:4">
      <c r="A423" s="21"/>
      <c r="B423" s="130"/>
      <c r="C423" s="130"/>
      <c r="D423" s="130"/>
    </row>
    <row r="424" spans="1:4">
      <c r="A424" s="21"/>
      <c r="B424" s="130"/>
      <c r="C424" s="130"/>
      <c r="D424" s="130"/>
    </row>
    <row r="425" spans="1:4">
      <c r="A425" s="21"/>
      <c r="B425" s="130"/>
      <c r="C425" s="130"/>
      <c r="D425" s="130"/>
    </row>
    <row r="426" spans="1:4">
      <c r="A426" s="21"/>
      <c r="B426" s="130"/>
      <c r="C426" s="130"/>
      <c r="D426" s="130"/>
    </row>
    <row r="427" spans="1:4">
      <c r="A427" s="21"/>
      <c r="B427" s="130"/>
      <c r="C427" s="130"/>
      <c r="D427" s="130"/>
    </row>
    <row r="428" spans="1:4">
      <c r="A428" s="21"/>
      <c r="B428" s="130"/>
      <c r="C428" s="130"/>
      <c r="D428" s="130"/>
    </row>
    <row r="429" spans="1:4">
      <c r="A429" s="21"/>
      <c r="B429" s="130"/>
      <c r="C429" s="130"/>
      <c r="D429" s="130"/>
    </row>
    <row r="430" spans="1:4">
      <c r="A430" s="21"/>
      <c r="B430" s="130"/>
      <c r="C430" s="130"/>
      <c r="D430" s="130"/>
    </row>
    <row r="431" spans="1:4">
      <c r="A431" s="21"/>
      <c r="B431" s="130"/>
      <c r="C431" s="130"/>
      <c r="D431" s="130"/>
    </row>
    <row r="432" spans="1:4">
      <c r="A432" s="21"/>
      <c r="B432" s="130"/>
      <c r="C432" s="130"/>
      <c r="D432" s="130"/>
    </row>
    <row r="433" spans="1:4">
      <c r="A433" s="21"/>
      <c r="B433" s="130"/>
      <c r="C433" s="130"/>
      <c r="D433" s="130"/>
    </row>
    <row r="434" spans="1:4">
      <c r="A434" s="21"/>
      <c r="B434" s="130"/>
      <c r="C434" s="130"/>
      <c r="D434" s="130"/>
    </row>
    <row r="435" spans="1:4">
      <c r="A435" s="21"/>
      <c r="B435" s="130"/>
      <c r="C435" s="130"/>
      <c r="D435" s="130"/>
    </row>
    <row r="436" spans="1:4">
      <c r="A436" s="21"/>
      <c r="B436" s="130"/>
      <c r="C436" s="130"/>
      <c r="D436" s="130"/>
    </row>
    <row r="437" spans="1:4">
      <c r="A437" s="21"/>
      <c r="B437" s="130"/>
      <c r="C437" s="130"/>
      <c r="D437" s="130"/>
    </row>
    <row r="438" spans="1:4">
      <c r="A438" s="21"/>
      <c r="B438" s="21"/>
      <c r="C438" s="21"/>
      <c r="D438" s="21"/>
    </row>
    <row r="439" spans="1:4">
      <c r="A439" s="21"/>
      <c r="B439" s="21"/>
      <c r="C439" s="21"/>
      <c r="D439" s="21"/>
    </row>
    <row r="440" spans="1:4">
      <c r="A440" s="21"/>
      <c r="B440" s="21"/>
      <c r="C440" s="21"/>
      <c r="D440" s="21"/>
    </row>
    <row r="441" spans="1:4">
      <c r="A441" s="21"/>
      <c r="B441" s="21"/>
      <c r="C441" s="21"/>
      <c r="D441" s="21"/>
    </row>
    <row r="442" spans="1:4">
      <c r="A442" s="21"/>
      <c r="B442" s="21"/>
      <c r="C442" s="21"/>
      <c r="D442" s="21"/>
    </row>
    <row r="443" spans="1:4">
      <c r="A443" s="21"/>
      <c r="B443" s="21"/>
      <c r="C443" s="21"/>
      <c r="D443" s="21"/>
    </row>
    <row r="444" spans="1:4">
      <c r="A444" s="21"/>
      <c r="B444" s="21"/>
      <c r="C444" s="21"/>
      <c r="D444" s="21"/>
    </row>
    <row r="445" spans="1:4">
      <c r="A445" s="21"/>
      <c r="B445" s="21"/>
      <c r="C445" s="21"/>
      <c r="D445" s="21"/>
    </row>
    <row r="446" spans="1:4">
      <c r="A446" s="21"/>
      <c r="B446" s="21"/>
      <c r="C446" s="21"/>
      <c r="D446" s="21"/>
    </row>
    <row r="447" spans="1:4">
      <c r="A447" s="21"/>
      <c r="B447" s="21"/>
      <c r="C447" s="21"/>
      <c r="D447" s="21"/>
    </row>
    <row r="448" spans="1:4">
      <c r="A448" s="21"/>
      <c r="B448" s="21"/>
      <c r="C448" s="21"/>
      <c r="D448" s="21"/>
    </row>
    <row r="449" spans="1:4">
      <c r="A449" s="21"/>
      <c r="B449" s="21"/>
      <c r="C449" s="21"/>
      <c r="D449" s="21"/>
    </row>
    <row r="450" spans="1:4">
      <c r="A450" s="21"/>
      <c r="B450" s="21"/>
      <c r="C450" s="21"/>
      <c r="D450" s="21"/>
    </row>
    <row r="451" spans="1:4">
      <c r="A451" s="21"/>
      <c r="B451" s="21"/>
      <c r="C451" s="21"/>
      <c r="D451" s="21"/>
    </row>
    <row r="452" spans="1:4">
      <c r="A452" s="21"/>
      <c r="B452" s="21"/>
      <c r="C452" s="21"/>
      <c r="D452" s="21"/>
    </row>
    <row r="453" spans="1:4">
      <c r="A453" s="21"/>
      <c r="B453" s="21"/>
      <c r="C453" s="21"/>
      <c r="D453" s="21"/>
    </row>
    <row r="454" spans="1:4">
      <c r="A454" s="21"/>
      <c r="B454" s="21"/>
      <c r="C454" s="21"/>
      <c r="D454" s="21"/>
    </row>
    <row r="455" spans="1:4">
      <c r="A455" s="21"/>
      <c r="B455" s="21"/>
      <c r="C455" s="21"/>
      <c r="D455" s="21"/>
    </row>
    <row r="456" spans="1:4">
      <c r="A456" s="21"/>
      <c r="B456" s="21"/>
      <c r="C456" s="21"/>
      <c r="D456" s="21"/>
    </row>
    <row r="457" spans="1:4">
      <c r="A457" s="21"/>
      <c r="B457" s="21"/>
      <c r="C457" s="21"/>
      <c r="D457" s="21"/>
    </row>
    <row r="458" spans="1:4">
      <c r="A458" s="21"/>
      <c r="B458" s="21"/>
      <c r="C458" s="21"/>
      <c r="D458" s="21"/>
    </row>
    <row r="459" spans="1:4">
      <c r="A459" s="21"/>
      <c r="B459" s="21"/>
      <c r="C459" s="21"/>
      <c r="D459" s="21"/>
    </row>
    <row r="460" spans="1:4">
      <c r="A460" s="21"/>
      <c r="B460" s="21"/>
      <c r="C460" s="21"/>
      <c r="D460" s="21"/>
    </row>
    <row r="461" spans="1:4">
      <c r="A461" s="21"/>
      <c r="B461" s="21"/>
      <c r="C461" s="21"/>
      <c r="D461" s="21"/>
    </row>
    <row r="462" spans="1:4">
      <c r="A462" s="21"/>
      <c r="B462" s="21"/>
      <c r="C462" s="21"/>
      <c r="D462" s="21"/>
    </row>
    <row r="463" spans="1:4">
      <c r="A463" s="21"/>
      <c r="B463" s="21"/>
      <c r="C463" s="21"/>
      <c r="D463" s="21"/>
    </row>
    <row r="464" spans="1:4">
      <c r="A464" s="21"/>
      <c r="B464" s="21"/>
      <c r="C464" s="21"/>
      <c r="D464" s="21"/>
    </row>
    <row r="465" spans="1:4">
      <c r="A465" s="21"/>
      <c r="B465" s="21"/>
      <c r="C465" s="21"/>
      <c r="D465" s="21"/>
    </row>
    <row r="466" spans="1:4">
      <c r="A466" s="21"/>
      <c r="B466" s="21"/>
      <c r="C466" s="21"/>
      <c r="D466" s="21"/>
    </row>
    <row r="467" spans="1:4">
      <c r="A467" s="21"/>
      <c r="B467" s="21"/>
      <c r="C467" s="21"/>
      <c r="D467" s="21"/>
    </row>
  </sheetData>
  <mergeCells count="61">
    <mergeCell ref="A306:D306"/>
    <mergeCell ref="A263:D263"/>
    <mergeCell ref="A264:D264"/>
    <mergeCell ref="A265:D265"/>
    <mergeCell ref="A277:D277"/>
    <mergeCell ref="A290:D290"/>
    <mergeCell ref="A248:C248"/>
    <mergeCell ref="A250:D250"/>
    <mergeCell ref="A251:D251"/>
    <mergeCell ref="A262:B262"/>
    <mergeCell ref="A298:D298"/>
    <mergeCell ref="A218:D218"/>
    <mergeCell ref="A226:D226"/>
    <mergeCell ref="A246:B246"/>
    <mergeCell ref="C246:D246"/>
    <mergeCell ref="A247:C247"/>
    <mergeCell ref="A183:D183"/>
    <mergeCell ref="A184:D184"/>
    <mergeCell ref="A185:D185"/>
    <mergeCell ref="A197:D197"/>
    <mergeCell ref="A210:D210"/>
    <mergeCell ref="A168:C168"/>
    <mergeCell ref="A169:C169"/>
    <mergeCell ref="A170:D170"/>
    <mergeCell ref="A171:D171"/>
    <mergeCell ref="A182:B182"/>
    <mergeCell ref="A138:D138"/>
    <mergeCell ref="A146:D146"/>
    <mergeCell ref="A166:B166"/>
    <mergeCell ref="C166:D166"/>
    <mergeCell ref="A167:C167"/>
    <mergeCell ref="A103:D103"/>
    <mergeCell ref="A104:D104"/>
    <mergeCell ref="A105:D105"/>
    <mergeCell ref="A117:D117"/>
    <mergeCell ref="A130:D130"/>
    <mergeCell ref="A88:C88"/>
    <mergeCell ref="A89:C89"/>
    <mergeCell ref="A90:D90"/>
    <mergeCell ref="A91:D91"/>
    <mergeCell ref="A102:B102"/>
    <mergeCell ref="A56:D56"/>
    <mergeCell ref="A64:D64"/>
    <mergeCell ref="A86:B86"/>
    <mergeCell ref="C86:D86"/>
    <mergeCell ref="A87:C87"/>
    <mergeCell ref="A21:D21"/>
    <mergeCell ref="A22:D22"/>
    <mergeCell ref="A23:D23"/>
    <mergeCell ref="A35:D35"/>
    <mergeCell ref="A48:D48"/>
    <mergeCell ref="A6:C6"/>
    <mergeCell ref="A7:C7"/>
    <mergeCell ref="A8:D8"/>
    <mergeCell ref="A9:D9"/>
    <mergeCell ref="A20:B20"/>
    <mergeCell ref="A1:D1"/>
    <mergeCell ref="A2:D2"/>
    <mergeCell ref="A4:B4"/>
    <mergeCell ref="C4:D4"/>
    <mergeCell ref="A5:C5"/>
  </mergeCells>
  <pageMargins left="0.70866141732283472" right="0.51181102362204722" top="0.78740157480314965" bottom="0.78740157480314965" header="0.51181102362204722" footer="0.51181102362204722"/>
  <pageSetup paperSize="9" scale="95" firstPageNumber="0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S1051"/>
  <sheetViews>
    <sheetView topLeftCell="A383" zoomScale="110" zoomScaleNormal="110" workbookViewId="0">
      <selection activeCell="D470" sqref="D470"/>
    </sheetView>
  </sheetViews>
  <sheetFormatPr defaultColWidth="8.7109375" defaultRowHeight="15"/>
  <cols>
    <col min="1" max="8" width="12.7109375" customWidth="1"/>
    <col min="9" max="9" width="12.85546875" customWidth="1"/>
    <col min="10" max="10" width="35.42578125" customWidth="1"/>
    <col min="11" max="11" width="15.7109375" customWidth="1"/>
    <col min="13" max="13" width="15" customWidth="1"/>
  </cols>
  <sheetData>
    <row r="1" spans="1:17" ht="20.100000000000001" customHeight="1">
      <c r="A1" s="671" t="s">
        <v>140</v>
      </c>
      <c r="B1" s="671"/>
      <c r="C1" s="671"/>
      <c r="D1" s="671"/>
      <c r="E1" s="671"/>
      <c r="F1" s="671"/>
      <c r="G1" s="671"/>
      <c r="H1" s="671"/>
      <c r="I1" s="22"/>
      <c r="J1" s="22"/>
      <c r="K1" s="131"/>
      <c r="L1" s="131"/>
      <c r="M1" s="131"/>
      <c r="N1" s="132"/>
    </row>
    <row r="2" spans="1:17" ht="20.100000000000001" customHeight="1">
      <c r="A2" s="652" t="s">
        <v>141</v>
      </c>
      <c r="B2" s="652"/>
      <c r="C2" s="652"/>
      <c r="D2" s="652"/>
      <c r="E2" s="652"/>
      <c r="F2" s="652"/>
      <c r="G2" s="652"/>
      <c r="H2" s="652"/>
      <c r="I2" s="22"/>
      <c r="J2" s="22"/>
      <c r="K2" s="131"/>
      <c r="L2" s="131"/>
      <c r="M2" s="131"/>
      <c r="N2" s="132"/>
    </row>
    <row r="3" spans="1:17" ht="15" customHeight="1">
      <c r="A3" s="133"/>
      <c r="B3" s="133"/>
      <c r="C3" s="133"/>
      <c r="D3" s="133"/>
      <c r="E3" s="133"/>
      <c r="F3" s="133"/>
      <c r="G3" s="133"/>
      <c r="H3" s="133"/>
      <c r="I3" s="22"/>
      <c r="J3" s="22"/>
      <c r="K3" s="131"/>
      <c r="L3" s="131"/>
      <c r="M3" s="131"/>
      <c r="N3" s="132"/>
    </row>
    <row r="4" spans="1:17" ht="45" customHeight="1">
      <c r="A4" s="672" t="s">
        <v>142</v>
      </c>
      <c r="B4" s="672"/>
      <c r="C4" s="672"/>
      <c r="D4" s="672"/>
      <c r="E4" s="672"/>
      <c r="F4" s="672"/>
      <c r="G4" s="672"/>
      <c r="H4" s="672"/>
      <c r="I4" s="22"/>
      <c r="J4" s="22"/>
      <c r="K4" s="131"/>
      <c r="L4" s="131"/>
      <c r="M4" s="131"/>
      <c r="N4" s="132"/>
    </row>
    <row r="5" spans="1:17">
      <c r="A5" s="22"/>
      <c r="B5" s="22"/>
      <c r="C5" s="22"/>
      <c r="D5" s="22"/>
      <c r="E5" s="22"/>
      <c r="F5" s="22"/>
      <c r="G5" s="22"/>
      <c r="H5" s="22"/>
      <c r="I5" s="22"/>
      <c r="J5" s="22"/>
      <c r="K5" s="131"/>
      <c r="L5" s="131"/>
      <c r="M5" s="131"/>
      <c r="N5" s="132"/>
    </row>
    <row r="6" spans="1:17">
      <c r="A6" s="673" t="s">
        <v>143</v>
      </c>
      <c r="B6" s="673"/>
      <c r="C6" s="673"/>
      <c r="D6" s="673"/>
      <c r="E6" s="673"/>
      <c r="F6" s="673"/>
      <c r="G6" s="673"/>
      <c r="H6" s="673"/>
      <c r="I6" s="22"/>
      <c r="J6" s="22"/>
      <c r="K6" s="134"/>
      <c r="L6" s="132"/>
      <c r="M6" s="132"/>
      <c r="N6" s="132"/>
      <c r="O6" s="22"/>
      <c r="P6" s="22"/>
      <c r="Q6" s="22"/>
    </row>
    <row r="7" spans="1:17">
      <c r="A7" s="674"/>
      <c r="B7" s="674"/>
      <c r="C7" s="674"/>
      <c r="D7" s="674"/>
      <c r="E7" s="674"/>
      <c r="F7" s="660" t="s">
        <v>144</v>
      </c>
      <c r="G7" s="660"/>
      <c r="H7" s="660"/>
      <c r="I7" s="22"/>
      <c r="J7" s="22"/>
      <c r="K7" s="131"/>
      <c r="L7" s="131"/>
      <c r="M7" s="131"/>
      <c r="N7" s="131"/>
      <c r="O7" s="22"/>
      <c r="P7" s="22"/>
      <c r="Q7" s="22"/>
    </row>
    <row r="8" spans="1:17">
      <c r="A8" s="664" t="s">
        <v>145</v>
      </c>
      <c r="B8" s="664"/>
      <c r="C8" s="664"/>
      <c r="D8" s="664"/>
      <c r="E8" s="664"/>
      <c r="F8" s="675">
        <f>F16</f>
        <v>218.77919236484465</v>
      </c>
      <c r="G8" s="675"/>
      <c r="H8" s="675"/>
      <c r="I8" s="22"/>
      <c r="J8" s="22"/>
      <c r="K8" s="137"/>
      <c r="L8" s="137"/>
      <c r="M8" s="137"/>
      <c r="N8" s="138"/>
      <c r="O8" s="139"/>
      <c r="P8" s="139"/>
      <c r="Q8" s="139"/>
    </row>
    <row r="9" spans="1:17">
      <c r="A9" s="664" t="s">
        <v>146</v>
      </c>
      <c r="B9" s="664"/>
      <c r="C9" s="664"/>
      <c r="D9" s="664"/>
      <c r="E9" s="664"/>
      <c r="F9" s="675">
        <f>F22</f>
        <v>12.918294384063421</v>
      </c>
      <c r="G9" s="675"/>
      <c r="H9" s="675"/>
      <c r="I9" s="22"/>
      <c r="J9" s="22"/>
      <c r="K9" s="137"/>
      <c r="L9" s="137"/>
      <c r="M9" s="137"/>
      <c r="N9" s="140"/>
      <c r="O9" s="139"/>
      <c r="P9" s="139"/>
      <c r="Q9" s="139"/>
    </row>
    <row r="10" spans="1:17">
      <c r="A10" s="676" t="s">
        <v>147</v>
      </c>
      <c r="B10" s="676"/>
      <c r="C10" s="676"/>
      <c r="D10" s="676"/>
      <c r="E10" s="676"/>
      <c r="F10" s="677">
        <f>F8+F9</f>
        <v>231.69748674890806</v>
      </c>
      <c r="G10" s="677"/>
      <c r="H10" s="677"/>
      <c r="I10" s="22"/>
      <c r="J10" s="141"/>
      <c r="K10" s="137"/>
      <c r="L10" s="137"/>
      <c r="M10" s="137"/>
      <c r="N10" s="140"/>
      <c r="O10" s="139"/>
      <c r="P10" s="139"/>
      <c r="Q10" s="139"/>
    </row>
    <row r="11" spans="1:17">
      <c r="A11" s="21"/>
      <c r="B11" s="21"/>
      <c r="C11" s="21"/>
      <c r="D11" s="21"/>
      <c r="E11" s="21"/>
      <c r="F11" s="21"/>
      <c r="G11" s="21"/>
      <c r="H11" s="21"/>
      <c r="I11" s="22"/>
      <c r="J11" s="142"/>
      <c r="K11" s="137"/>
      <c r="L11" s="137"/>
      <c r="M11" s="137"/>
      <c r="N11" s="140"/>
      <c r="O11" s="143"/>
      <c r="P11" s="143"/>
      <c r="Q11" s="139"/>
    </row>
    <row r="12" spans="1:17" ht="15" customHeight="1">
      <c r="A12" s="678" t="s">
        <v>148</v>
      </c>
      <c r="B12" s="678"/>
      <c r="C12" s="678"/>
      <c r="D12" s="678"/>
      <c r="E12" s="678"/>
      <c r="F12" s="678" t="s">
        <v>149</v>
      </c>
      <c r="G12" s="678"/>
      <c r="H12" s="678"/>
      <c r="I12" s="22"/>
      <c r="L12" s="137"/>
      <c r="M12" s="137"/>
      <c r="N12" s="144"/>
      <c r="O12" s="143"/>
      <c r="P12" s="143"/>
      <c r="Q12" s="143"/>
    </row>
    <row r="13" spans="1:17">
      <c r="A13" s="679" t="s">
        <v>150</v>
      </c>
      <c r="B13" s="679"/>
      <c r="C13" s="679"/>
      <c r="D13" s="679"/>
      <c r="E13" s="679"/>
      <c r="F13" s="680">
        <f>F456</f>
        <v>224457.68746637073</v>
      </c>
      <c r="G13" s="680"/>
      <c r="H13" s="680"/>
      <c r="I13" s="22"/>
      <c r="L13" s="137"/>
      <c r="M13" s="137"/>
      <c r="N13" s="145"/>
    </row>
    <row r="14" spans="1:17" ht="15" customHeight="1">
      <c r="A14" s="681" t="s">
        <v>151</v>
      </c>
      <c r="B14" s="681"/>
      <c r="C14" s="681"/>
      <c r="D14" s="681"/>
      <c r="E14" s="681"/>
      <c r="F14" s="682">
        <f>(E462+E463)*(1+BDI!$B$12)</f>
        <v>105898.89300454469</v>
      </c>
      <c r="G14" s="682"/>
      <c r="H14" s="682"/>
      <c r="I14" s="22"/>
      <c r="L14" s="138"/>
      <c r="M14" s="138"/>
      <c r="N14" s="138"/>
    </row>
    <row r="15" spans="1:17">
      <c r="A15" s="679" t="s">
        <v>152</v>
      </c>
      <c r="B15" s="679"/>
      <c r="C15" s="679"/>
      <c r="D15" s="679"/>
      <c r="E15" s="679"/>
      <c r="F15" s="680">
        <f>F13+F14</f>
        <v>330356.58047091542</v>
      </c>
      <c r="G15" s="680"/>
      <c r="H15" s="680"/>
      <c r="I15" s="141"/>
      <c r="L15" s="132"/>
      <c r="M15" s="132"/>
      <c r="N15" s="132"/>
    </row>
    <row r="16" spans="1:17">
      <c r="A16" s="683" t="s">
        <v>153</v>
      </c>
      <c r="B16" s="683"/>
      <c r="C16" s="683"/>
      <c r="D16" s="683"/>
      <c r="E16" s="683"/>
      <c r="F16" s="684">
        <f>F15/G32</f>
        <v>218.77919236484465</v>
      </c>
      <c r="G16" s="684"/>
      <c r="H16" s="684"/>
      <c r="I16" s="141"/>
      <c r="L16" s="137"/>
      <c r="M16" s="140"/>
      <c r="N16" s="148"/>
    </row>
    <row r="17" spans="1:14">
      <c r="A17" s="82"/>
      <c r="B17" s="82"/>
      <c r="C17" s="82"/>
      <c r="D17" s="82"/>
      <c r="E17" s="82"/>
      <c r="F17" s="149"/>
      <c r="G17" s="82"/>
      <c r="H17" s="82"/>
      <c r="I17" s="150"/>
      <c r="L17" s="137"/>
      <c r="M17" s="140"/>
      <c r="N17" s="148"/>
    </row>
    <row r="18" spans="1:14">
      <c r="A18" s="678" t="s">
        <v>154</v>
      </c>
      <c r="B18" s="678"/>
      <c r="C18" s="678"/>
      <c r="D18" s="678"/>
      <c r="E18" s="678"/>
      <c r="F18" s="678" t="s">
        <v>149</v>
      </c>
      <c r="G18" s="678"/>
      <c r="H18" s="678"/>
      <c r="I18" s="22"/>
      <c r="J18" s="22"/>
      <c r="K18" s="137"/>
      <c r="L18" s="137"/>
      <c r="M18" s="140"/>
      <c r="N18" s="148"/>
    </row>
    <row r="19" spans="1:14">
      <c r="A19" s="679" t="s">
        <v>150</v>
      </c>
      <c r="B19" s="679"/>
      <c r="C19" s="679"/>
      <c r="D19" s="679"/>
      <c r="E19" s="679"/>
      <c r="F19" s="685">
        <f>F570</f>
        <v>8468.5941375766433</v>
      </c>
      <c r="G19" s="685"/>
      <c r="H19" s="685"/>
      <c r="I19" s="152"/>
      <c r="J19" s="22"/>
      <c r="K19" s="137"/>
      <c r="L19" s="137"/>
      <c r="M19" s="140"/>
      <c r="N19" s="148"/>
    </row>
    <row r="20" spans="1:14">
      <c r="A20" s="679" t="s">
        <v>155</v>
      </c>
      <c r="B20" s="679"/>
      <c r="C20" s="679"/>
      <c r="D20" s="679"/>
      <c r="E20" s="679"/>
      <c r="F20" s="682">
        <f>E544*(1+BDI!$B$12)</f>
        <v>11038.030382359122</v>
      </c>
      <c r="G20" s="682"/>
      <c r="H20" s="682"/>
      <c r="I20" s="22"/>
      <c r="J20" s="152"/>
      <c r="K20" s="137"/>
      <c r="L20" s="137"/>
      <c r="M20" s="140"/>
      <c r="N20" s="148"/>
    </row>
    <row r="21" spans="1:14">
      <c r="A21" s="679" t="s">
        <v>152</v>
      </c>
      <c r="B21" s="679"/>
      <c r="C21" s="679"/>
      <c r="D21" s="679"/>
      <c r="E21" s="679"/>
      <c r="F21" s="682">
        <f>F19+F20</f>
        <v>19506.624519935765</v>
      </c>
      <c r="G21" s="682"/>
      <c r="H21" s="682"/>
      <c r="I21" s="141"/>
      <c r="J21" s="152"/>
      <c r="K21" s="137"/>
      <c r="L21" s="137"/>
      <c r="M21" s="140"/>
      <c r="N21" s="148"/>
    </row>
    <row r="22" spans="1:14">
      <c r="A22" s="683" t="s">
        <v>153</v>
      </c>
      <c r="B22" s="683"/>
      <c r="C22" s="683"/>
      <c r="D22" s="683"/>
      <c r="E22" s="683"/>
      <c r="F22" s="686">
        <f>F21/G32</f>
        <v>12.918294384063421</v>
      </c>
      <c r="G22" s="686"/>
      <c r="H22" s="686"/>
      <c r="I22" s="141"/>
      <c r="J22" s="22"/>
      <c r="K22" s="137"/>
      <c r="L22" s="137"/>
      <c r="M22" s="140"/>
      <c r="N22" s="148"/>
    </row>
    <row r="23" spans="1:14">
      <c r="A23" s="82"/>
      <c r="B23" s="82"/>
      <c r="C23" s="82"/>
      <c r="D23" s="82"/>
      <c r="E23" s="82"/>
      <c r="F23" s="153"/>
      <c r="G23" s="153"/>
      <c r="H23" s="153"/>
      <c r="I23" s="22"/>
      <c r="J23" s="22"/>
      <c r="K23" s="137"/>
      <c r="L23" s="137"/>
      <c r="M23" s="140"/>
      <c r="N23" s="148"/>
    </row>
    <row r="24" spans="1:14">
      <c r="A24" s="687" t="s">
        <v>156</v>
      </c>
      <c r="B24" s="687"/>
      <c r="C24" s="687"/>
      <c r="D24" s="687"/>
      <c r="E24" s="687"/>
      <c r="F24" s="687"/>
      <c r="G24" s="687"/>
      <c r="H24" s="687"/>
      <c r="I24" s="22"/>
      <c r="J24" s="22"/>
      <c r="K24" s="137"/>
      <c r="L24" s="137"/>
      <c r="M24" s="154"/>
      <c r="N24" s="148"/>
    </row>
    <row r="25" spans="1:14">
      <c r="A25" s="126"/>
      <c r="B25" s="126"/>
      <c r="C25" s="126"/>
      <c r="D25" s="126"/>
      <c r="E25" s="126"/>
      <c r="F25" s="126"/>
      <c r="G25" s="126"/>
      <c r="H25" s="126"/>
      <c r="I25" s="22"/>
      <c r="J25" s="22"/>
      <c r="K25" s="137"/>
      <c r="L25" s="137"/>
      <c r="M25" s="154"/>
      <c r="N25" s="148"/>
    </row>
    <row r="26" spans="1:14" ht="34.5" customHeight="1">
      <c r="A26" s="688" t="s">
        <v>157</v>
      </c>
      <c r="B26" s="688"/>
      <c r="C26" s="688"/>
      <c r="D26" s="688"/>
      <c r="E26" s="688"/>
      <c r="F26" s="688"/>
      <c r="G26" s="688"/>
      <c r="H26" s="688"/>
      <c r="I26" s="22"/>
      <c r="J26" s="22"/>
      <c r="K26" s="137"/>
      <c r="L26" s="137"/>
      <c r="M26" s="154"/>
      <c r="N26" s="148"/>
    </row>
    <row r="27" spans="1:14">
      <c r="A27" s="126"/>
      <c r="B27" s="126"/>
      <c r="C27" s="126"/>
      <c r="D27" s="126"/>
      <c r="E27" s="126"/>
      <c r="F27" s="126"/>
      <c r="G27" s="126"/>
      <c r="H27" s="126"/>
      <c r="I27" s="22"/>
      <c r="J27" s="22"/>
      <c r="K27" s="137"/>
      <c r="L27" s="137"/>
      <c r="M27" s="154"/>
      <c r="N27" s="148"/>
    </row>
    <row r="28" spans="1:14">
      <c r="A28" s="689" t="s">
        <v>158</v>
      </c>
      <c r="B28" s="689"/>
      <c r="C28" s="689"/>
      <c r="D28" s="689"/>
      <c r="E28" s="689"/>
      <c r="F28" s="689"/>
      <c r="G28" s="689"/>
      <c r="H28" s="689"/>
      <c r="I28" s="22"/>
      <c r="J28" s="22"/>
      <c r="K28" s="137"/>
      <c r="L28" s="137"/>
      <c r="M28" s="140"/>
      <c r="N28" s="148"/>
    </row>
    <row r="29" spans="1:14" ht="45" customHeight="1">
      <c r="A29" s="688" t="s">
        <v>711</v>
      </c>
      <c r="B29" s="688"/>
      <c r="C29" s="688"/>
      <c r="D29" s="688"/>
      <c r="E29" s="688"/>
      <c r="F29" s="688"/>
      <c r="G29" s="688"/>
      <c r="H29" s="688"/>
      <c r="I29" s="22"/>
      <c r="J29" s="22"/>
      <c r="K29" s="137"/>
      <c r="L29" s="137"/>
      <c r="M29" s="140"/>
      <c r="N29" s="148"/>
    </row>
    <row r="30" spans="1:14">
      <c r="A30" s="155"/>
      <c r="B30" s="156"/>
      <c r="C30" s="156"/>
      <c r="D30" s="156"/>
      <c r="E30" s="156"/>
      <c r="F30" s="156"/>
      <c r="G30" s="156"/>
      <c r="H30" s="156"/>
      <c r="I30" s="22"/>
      <c r="J30" s="22"/>
      <c r="K30" s="137"/>
      <c r="L30" s="137"/>
      <c r="M30" s="140"/>
      <c r="N30" s="148"/>
    </row>
    <row r="31" spans="1:14" ht="24.95" customHeight="1">
      <c r="A31" s="653" t="s">
        <v>751</v>
      </c>
      <c r="B31" s="653"/>
      <c r="C31" s="653"/>
      <c r="D31" s="653"/>
      <c r="E31" s="653"/>
      <c r="F31" s="653"/>
      <c r="G31" s="690">
        <f>G32*12</f>
        <v>18120</v>
      </c>
      <c r="H31" s="690"/>
      <c r="I31" s="22"/>
      <c r="J31" s="22"/>
      <c r="K31" s="137"/>
      <c r="L31" s="137"/>
      <c r="M31" s="140"/>
      <c r="N31" s="148"/>
    </row>
    <row r="32" spans="1:14" ht="24.95" customHeight="1">
      <c r="A32" s="653" t="s">
        <v>752</v>
      </c>
      <c r="B32" s="653"/>
      <c r="C32" s="653"/>
      <c r="D32" s="653"/>
      <c r="E32" s="653"/>
      <c r="F32" s="653"/>
      <c r="G32" s="690">
        <f>C54</f>
        <v>1510</v>
      </c>
      <c r="H32" s="690"/>
      <c r="I32" s="22"/>
      <c r="J32" s="22"/>
      <c r="K32" s="137"/>
      <c r="L32" s="137"/>
      <c r="M32" s="140"/>
      <c r="N32" s="148"/>
    </row>
    <row r="33" spans="1:14">
      <c r="A33" s="21"/>
      <c r="B33" s="21"/>
      <c r="C33" s="21"/>
      <c r="D33" s="21"/>
      <c r="E33" s="21"/>
      <c r="F33" s="21"/>
      <c r="G33" s="21"/>
      <c r="H33" s="21"/>
      <c r="I33" s="22"/>
      <c r="J33" s="22"/>
      <c r="K33" s="157"/>
      <c r="L33" s="157"/>
      <c r="M33" s="140"/>
      <c r="N33" s="158"/>
    </row>
    <row r="34" spans="1:14">
      <c r="A34" s="585" t="s">
        <v>159</v>
      </c>
      <c r="B34" s="586">
        <v>2014</v>
      </c>
      <c r="C34" s="586">
        <v>2015</v>
      </c>
      <c r="D34" s="586">
        <v>2016</v>
      </c>
      <c r="E34" s="586">
        <v>2017</v>
      </c>
      <c r="F34" s="586">
        <v>2018</v>
      </c>
      <c r="G34" s="586">
        <v>2019</v>
      </c>
      <c r="H34" s="586">
        <v>2020</v>
      </c>
      <c r="I34" s="22"/>
      <c r="J34" s="22"/>
      <c r="K34" s="137"/>
      <c r="L34" s="132"/>
      <c r="M34" s="132"/>
      <c r="N34" s="132"/>
    </row>
    <row r="35" spans="1:14">
      <c r="A35" s="26" t="s">
        <v>160</v>
      </c>
      <c r="B35" s="587">
        <v>1363.05</v>
      </c>
      <c r="C35" s="587">
        <v>1572.92</v>
      </c>
      <c r="D35" s="587">
        <v>1573.41</v>
      </c>
      <c r="E35" s="588">
        <v>1548.94</v>
      </c>
      <c r="F35" s="588">
        <v>1687.51</v>
      </c>
      <c r="G35" s="588">
        <v>1641.96</v>
      </c>
      <c r="H35" s="615">
        <v>1702.09</v>
      </c>
      <c r="I35" s="22"/>
      <c r="J35" s="22"/>
      <c r="K35" s="157"/>
      <c r="L35" s="132"/>
      <c r="M35" s="132"/>
      <c r="N35" s="161"/>
    </row>
    <row r="36" spans="1:14">
      <c r="A36" s="26" t="s">
        <v>161</v>
      </c>
      <c r="B36" s="587">
        <v>1130.7</v>
      </c>
      <c r="C36" s="587">
        <v>1275.57</v>
      </c>
      <c r="D36" s="587">
        <v>1354.14</v>
      </c>
      <c r="E36" s="588">
        <v>1323.44</v>
      </c>
      <c r="F36" s="588">
        <v>1313.16</v>
      </c>
      <c r="G36" s="588">
        <v>1361.25</v>
      </c>
      <c r="H36" s="615">
        <v>1441.64</v>
      </c>
      <c r="I36" s="22"/>
      <c r="J36" s="22"/>
      <c r="K36" s="138"/>
      <c r="L36" s="138"/>
      <c r="M36" s="138"/>
      <c r="N36" s="138"/>
    </row>
    <row r="37" spans="1:14">
      <c r="A37" s="26" t="s">
        <v>162</v>
      </c>
      <c r="B37" s="587">
        <v>1321.41</v>
      </c>
      <c r="C37" s="587">
        <v>1323.48</v>
      </c>
      <c r="D37" s="587">
        <v>1406.53</v>
      </c>
      <c r="E37" s="588">
        <v>1454.5</v>
      </c>
      <c r="F37" s="588">
        <v>1426.53</v>
      </c>
      <c r="G37" s="588">
        <v>1230.03</v>
      </c>
      <c r="H37" s="615">
        <f>1219.36+167</f>
        <v>1386.36</v>
      </c>
      <c r="I37" s="22"/>
      <c r="J37" s="22"/>
      <c r="K37" s="162"/>
      <c r="L37" s="162"/>
      <c r="M37" s="163"/>
      <c r="N37" s="163"/>
    </row>
    <row r="38" spans="1:14">
      <c r="A38" s="26" t="s">
        <v>163</v>
      </c>
      <c r="B38" s="587">
        <v>1240.1099999999999</v>
      </c>
      <c r="C38" s="587">
        <v>1286.78</v>
      </c>
      <c r="D38" s="587">
        <v>1353.06</v>
      </c>
      <c r="E38" s="588">
        <f>693+657.76</f>
        <v>1350.76</v>
      </c>
      <c r="F38" s="588">
        <v>1412.29</v>
      </c>
      <c r="G38" s="588">
        <v>1619.28</v>
      </c>
      <c r="H38" s="615">
        <v>1366.45</v>
      </c>
      <c r="I38" s="22"/>
      <c r="J38" s="22"/>
      <c r="K38" s="137"/>
      <c r="L38" s="137"/>
      <c r="M38" s="144"/>
      <c r="N38" s="164"/>
    </row>
    <row r="39" spans="1:14">
      <c r="A39" s="26" t="s">
        <v>164</v>
      </c>
      <c r="B39" s="587">
        <v>1276.93</v>
      </c>
      <c r="C39" s="587">
        <v>1293.24</v>
      </c>
      <c r="D39" s="587">
        <v>1308</v>
      </c>
      <c r="E39" s="588">
        <v>1442.19</v>
      </c>
      <c r="F39" s="588">
        <v>1336.25</v>
      </c>
      <c r="G39" s="588">
        <v>1448.85</v>
      </c>
      <c r="H39" s="615">
        <v>1354</v>
      </c>
      <c r="I39" s="22"/>
      <c r="J39" s="22"/>
      <c r="K39" s="137"/>
      <c r="L39" s="137"/>
      <c r="M39" s="144"/>
      <c r="N39" s="164"/>
    </row>
    <row r="40" spans="1:14">
      <c r="A40" s="26" t="s">
        <v>165</v>
      </c>
      <c r="B40" s="587">
        <v>1211.4100000000001</v>
      </c>
      <c r="C40" s="587">
        <v>1273.18</v>
      </c>
      <c r="D40" s="587">
        <v>1260.6500000000001</v>
      </c>
      <c r="E40" s="588">
        <v>1369.94</v>
      </c>
      <c r="F40" s="588">
        <v>1372.7</v>
      </c>
      <c r="G40" s="588">
        <v>1361.97</v>
      </c>
      <c r="H40" s="615">
        <v>1431.44</v>
      </c>
      <c r="I40" s="22"/>
      <c r="J40" s="22"/>
      <c r="K40" s="137"/>
      <c r="L40" s="137"/>
      <c r="M40" s="144"/>
      <c r="N40" s="164"/>
    </row>
    <row r="41" spans="1:14">
      <c r="A41" s="26" t="s">
        <v>166</v>
      </c>
      <c r="B41" s="587">
        <v>1295.6300000000001</v>
      </c>
      <c r="C41" s="587">
        <v>1316.72</v>
      </c>
      <c r="D41" s="587">
        <v>1259.53</v>
      </c>
      <c r="E41" s="588">
        <v>1307.8800000000001</v>
      </c>
      <c r="F41" s="588">
        <v>1337.99</v>
      </c>
      <c r="G41" s="588">
        <v>1404.28</v>
      </c>
      <c r="H41" s="615">
        <v>1499.19</v>
      </c>
      <c r="I41" s="22"/>
      <c r="J41" s="22"/>
      <c r="K41" s="137"/>
      <c r="L41" s="137"/>
      <c r="M41" s="144"/>
      <c r="N41" s="164"/>
    </row>
    <row r="42" spans="1:14">
      <c r="A42" s="26" t="s">
        <v>167</v>
      </c>
      <c r="B42" s="587">
        <v>1254.67</v>
      </c>
      <c r="C42" s="587">
        <v>1266.4100000000001</v>
      </c>
      <c r="D42" s="587">
        <v>1318.75</v>
      </c>
      <c r="E42" s="588">
        <v>1368.2</v>
      </c>
      <c r="F42" s="588">
        <v>1361.28</v>
      </c>
      <c r="G42" s="588">
        <v>1361.08</v>
      </c>
      <c r="H42" s="615">
        <v>1435.9</v>
      </c>
      <c r="I42" s="22"/>
      <c r="J42" s="22"/>
      <c r="K42" s="137"/>
      <c r="L42" s="137"/>
      <c r="M42" s="144"/>
      <c r="N42" s="164"/>
    </row>
    <row r="43" spans="1:14">
      <c r="A43" s="26" t="s">
        <v>168</v>
      </c>
      <c r="B43" s="587">
        <v>1263.78</v>
      </c>
      <c r="C43" s="587">
        <v>1281.55</v>
      </c>
      <c r="D43" s="587">
        <v>1239.75</v>
      </c>
      <c r="E43" s="588">
        <v>1321.45</v>
      </c>
      <c r="F43" s="588">
        <v>1361</v>
      </c>
      <c r="G43" s="588">
        <v>1323.83</v>
      </c>
      <c r="H43" s="615">
        <f>1259.31+189.8</f>
        <v>1449.11</v>
      </c>
      <c r="I43" s="22"/>
      <c r="J43" s="22"/>
      <c r="K43" s="137"/>
      <c r="L43" s="137"/>
      <c r="M43" s="144"/>
      <c r="N43" s="164"/>
    </row>
    <row r="44" spans="1:14">
      <c r="A44" s="26" t="s">
        <v>169</v>
      </c>
      <c r="B44" s="587">
        <v>1332.9</v>
      </c>
      <c r="C44" s="587">
        <v>1368.36</v>
      </c>
      <c r="D44" s="587">
        <v>1279.76</v>
      </c>
      <c r="E44" s="589">
        <v>1403.81</v>
      </c>
      <c r="F44" s="588">
        <v>1477.8</v>
      </c>
      <c r="G44" s="588">
        <v>1458.62</v>
      </c>
      <c r="H44" s="615">
        <v>1477.72</v>
      </c>
      <c r="I44" s="22"/>
      <c r="J44" s="22"/>
      <c r="K44" s="137"/>
      <c r="L44" s="137"/>
      <c r="M44" s="144"/>
      <c r="N44" s="164"/>
    </row>
    <row r="45" spans="1:14" s="139" customFormat="1">
      <c r="A45" s="26" t="s">
        <v>170</v>
      </c>
      <c r="B45" s="587">
        <v>1242.08</v>
      </c>
      <c r="C45" s="587">
        <v>1330.69</v>
      </c>
      <c r="D45" s="587">
        <v>1294.3800000000001</v>
      </c>
      <c r="E45" s="588">
        <v>1373.49</v>
      </c>
      <c r="F45" s="589">
        <v>1401.58</v>
      </c>
      <c r="G45" s="589">
        <v>1499.37</v>
      </c>
      <c r="H45" s="615">
        <v>1410.82</v>
      </c>
      <c r="I45" s="22"/>
      <c r="J45" s="22"/>
      <c r="K45" s="137"/>
      <c r="L45" s="137"/>
      <c r="M45" s="144"/>
      <c r="N45" s="164"/>
    </row>
    <row r="46" spans="1:14" ht="15" customHeight="1">
      <c r="A46" s="26" t="s">
        <v>171</v>
      </c>
      <c r="B46" s="587">
        <v>1322.8</v>
      </c>
      <c r="C46" s="587">
        <v>1361.55</v>
      </c>
      <c r="D46" s="587">
        <v>1380.41</v>
      </c>
      <c r="E46" s="588">
        <v>1327.78</v>
      </c>
      <c r="F46" s="588">
        <v>1368.55</v>
      </c>
      <c r="G46" s="588">
        <v>1246.5</v>
      </c>
      <c r="H46" s="615">
        <v>1700.78</v>
      </c>
      <c r="I46" s="22"/>
      <c r="J46" s="22"/>
      <c r="K46" s="137"/>
      <c r="L46" s="157"/>
      <c r="M46" s="165"/>
      <c r="N46" s="166"/>
    </row>
    <row r="47" spans="1:14" ht="23.25">
      <c r="A47" s="167" t="s">
        <v>172</v>
      </c>
      <c r="B47" s="168">
        <f t="shared" ref="B47:G47" si="0">SUM(B35:B46)</f>
        <v>15255.47</v>
      </c>
      <c r="C47" s="168">
        <f t="shared" si="0"/>
        <v>15950.449999999999</v>
      </c>
      <c r="D47" s="168">
        <f t="shared" si="0"/>
        <v>16028.369999999999</v>
      </c>
      <c r="E47" s="168">
        <f t="shared" si="0"/>
        <v>16592.38</v>
      </c>
      <c r="F47" s="168">
        <f t="shared" si="0"/>
        <v>16856.64</v>
      </c>
      <c r="G47" s="169">
        <f t="shared" si="0"/>
        <v>16957.019999999997</v>
      </c>
      <c r="H47" s="169">
        <f>SUM(H35:H46)</f>
        <v>17655.5</v>
      </c>
      <c r="I47" s="22"/>
      <c r="J47" s="143"/>
      <c r="K47" s="138"/>
      <c r="L47" s="138"/>
      <c r="M47" s="138"/>
      <c r="N47" s="138"/>
    </row>
    <row r="48" spans="1:14" ht="27" customHeight="1">
      <c r="A48" s="170" t="s">
        <v>173</v>
      </c>
      <c r="B48" s="79">
        <f t="shared" ref="B48:G48" si="1">AVERAGE(B35:B46)</f>
        <v>1271.2891666666667</v>
      </c>
      <c r="C48" s="79">
        <f t="shared" si="1"/>
        <v>1329.2041666666667</v>
      </c>
      <c r="D48" s="79">
        <f t="shared" si="1"/>
        <v>1335.6975</v>
      </c>
      <c r="E48" s="79">
        <f t="shared" si="1"/>
        <v>1382.6983333333335</v>
      </c>
      <c r="F48" s="79">
        <f t="shared" si="1"/>
        <v>1404.72</v>
      </c>
      <c r="G48" s="79">
        <f t="shared" si="1"/>
        <v>1413.0849999999998</v>
      </c>
      <c r="H48" s="79">
        <f>H47/12</f>
        <v>1471.2916666666667</v>
      </c>
      <c r="I48" s="22"/>
      <c r="J48" s="22"/>
      <c r="K48" s="162"/>
      <c r="L48" s="162"/>
      <c r="M48" s="163"/>
      <c r="N48" s="163"/>
    </row>
    <row r="49" spans="1:14">
      <c r="A49" s="171"/>
      <c r="B49" s="102"/>
      <c r="C49" s="102"/>
      <c r="D49" s="102"/>
      <c r="E49" s="102"/>
      <c r="F49" s="123"/>
      <c r="G49" s="102"/>
      <c r="H49" s="21"/>
      <c r="I49" s="22"/>
      <c r="J49" s="22"/>
      <c r="K49" s="140"/>
      <c r="L49" s="137"/>
      <c r="M49" s="144"/>
      <c r="N49" s="164"/>
    </row>
    <row r="50" spans="1:14" ht="15" customHeight="1">
      <c r="A50" s="657" t="s">
        <v>718</v>
      </c>
      <c r="B50" s="657"/>
      <c r="C50" s="657"/>
      <c r="D50" s="172">
        <f>((H47*100/B47)-100)/7</f>
        <v>2.2474655226710718</v>
      </c>
      <c r="E50" s="173"/>
      <c r="F50" s="21"/>
      <c r="G50" s="21"/>
      <c r="H50" s="21"/>
      <c r="I50" s="22"/>
      <c r="J50" s="22"/>
      <c r="K50" s="140"/>
      <c r="L50" s="137"/>
      <c r="M50" s="22"/>
      <c r="N50" s="137"/>
    </row>
    <row r="51" spans="1:14" ht="15" customHeight="1">
      <c r="A51" s="691" t="s">
        <v>717</v>
      </c>
      <c r="B51" s="691"/>
      <c r="C51" s="692"/>
      <c r="D51" s="578">
        <v>0.5</v>
      </c>
      <c r="E51" s="174"/>
      <c r="I51" s="22"/>
      <c r="J51" s="22"/>
      <c r="K51" s="140"/>
      <c r="L51" s="137"/>
      <c r="M51" s="22"/>
      <c r="N51" s="137"/>
    </row>
    <row r="52" spans="1:14">
      <c r="A52" s="662" t="s">
        <v>174</v>
      </c>
      <c r="B52" s="662"/>
      <c r="C52" s="616">
        <f>D50+D51</f>
        <v>2.7474655226710718</v>
      </c>
      <c r="D52" s="21"/>
      <c r="E52" s="173"/>
      <c r="I52" s="175"/>
      <c r="J52" s="21"/>
      <c r="K52" s="140"/>
      <c r="L52" s="137"/>
      <c r="M52" s="22"/>
      <c r="N52" s="137"/>
    </row>
    <row r="53" spans="1:14">
      <c r="A53" s="683" t="s">
        <v>715</v>
      </c>
      <c r="B53" s="683"/>
      <c r="C53" s="617">
        <f>(H48*1.0275)</f>
        <v>1511.7521875000002</v>
      </c>
      <c r="D53" s="590"/>
      <c r="E53" s="579"/>
      <c r="F53" s="176"/>
      <c r="I53" s="21"/>
      <c r="J53" s="21"/>
      <c r="K53" s="140"/>
      <c r="L53" s="137"/>
      <c r="M53" s="22"/>
      <c r="N53" s="137"/>
    </row>
    <row r="54" spans="1:14" s="193" customFormat="1">
      <c r="A54" s="664" t="s">
        <v>719</v>
      </c>
      <c r="B54" s="665"/>
      <c r="C54" s="617">
        <v>1510</v>
      </c>
      <c r="D54" s="590"/>
      <c r="E54" s="579"/>
      <c r="F54" s="176"/>
      <c r="I54" s="156"/>
      <c r="J54" s="156"/>
      <c r="K54" s="185"/>
      <c r="L54" s="581"/>
      <c r="M54" s="320"/>
      <c r="N54" s="581"/>
    </row>
    <row r="55" spans="1:14" ht="15" customHeight="1">
      <c r="A55" s="662" t="s">
        <v>716</v>
      </c>
      <c r="B55" s="662"/>
      <c r="C55" s="617">
        <f>C54*12</f>
        <v>18120</v>
      </c>
      <c r="D55" s="21"/>
      <c r="F55" s="177"/>
      <c r="G55" s="178"/>
      <c r="I55" s="21"/>
      <c r="J55" s="156">
        <f>1510/2</f>
        <v>755</v>
      </c>
      <c r="K55" s="140"/>
      <c r="L55" s="137"/>
      <c r="M55" s="22"/>
      <c r="N55" s="137"/>
    </row>
    <row r="56" spans="1:14">
      <c r="A56" s="82"/>
      <c r="B56" s="82"/>
      <c r="C56" s="179"/>
      <c r="D56" s="21"/>
      <c r="E56" s="177"/>
      <c r="I56" s="21"/>
      <c r="J56" s="21"/>
      <c r="K56" s="140"/>
      <c r="L56" s="137"/>
      <c r="M56" s="22"/>
      <c r="N56" s="137"/>
    </row>
    <row r="57" spans="1:14">
      <c r="A57" s="83" t="s">
        <v>175</v>
      </c>
      <c r="B57" s="83"/>
      <c r="C57" s="583">
        <v>26</v>
      </c>
      <c r="D57" s="21"/>
      <c r="E57" s="21"/>
      <c r="I57" s="21"/>
      <c r="J57" s="21"/>
      <c r="K57" s="140"/>
      <c r="L57" s="137"/>
      <c r="M57" s="22"/>
      <c r="N57" s="137"/>
    </row>
    <row r="58" spans="1:14">
      <c r="A58" s="83" t="s">
        <v>176</v>
      </c>
      <c r="B58" s="83"/>
      <c r="C58" s="180">
        <f>E120/26</f>
        <v>454.29784615384608</v>
      </c>
      <c r="D58" s="21" t="s">
        <v>177</v>
      </c>
      <c r="E58" s="21"/>
      <c r="I58" s="21"/>
      <c r="J58" s="21"/>
      <c r="K58" s="140"/>
      <c r="L58" s="137"/>
      <c r="M58" s="22"/>
      <c r="N58" s="137"/>
    </row>
    <row r="59" spans="1:14">
      <c r="A59" s="83" t="s">
        <v>178</v>
      </c>
      <c r="B59" s="83"/>
      <c r="C59" s="180">
        <f>C58/2</f>
        <v>227.14892307692304</v>
      </c>
      <c r="D59" s="21" t="s">
        <v>179</v>
      </c>
      <c r="E59" s="21"/>
      <c r="I59" s="21"/>
      <c r="J59" s="21"/>
      <c r="K59" s="70"/>
      <c r="L59" s="137"/>
      <c r="M59" s="175"/>
      <c r="N59" s="137"/>
    </row>
    <row r="60" spans="1:14">
      <c r="A60" s="83" t="s">
        <v>180</v>
      </c>
      <c r="B60" s="83"/>
      <c r="C60" s="26">
        <v>7.33</v>
      </c>
      <c r="D60" s="21" t="s">
        <v>181</v>
      </c>
      <c r="E60" s="21"/>
      <c r="I60" s="21"/>
      <c r="J60" s="21"/>
      <c r="K60" s="70"/>
      <c r="L60" s="137"/>
      <c r="M60" s="22"/>
      <c r="N60" s="137"/>
    </row>
    <row r="61" spans="1:14">
      <c r="A61" s="82"/>
      <c r="B61" s="82"/>
      <c r="C61" s="179"/>
      <c r="D61" s="181"/>
      <c r="E61" s="21"/>
      <c r="I61" s="21"/>
      <c r="J61" s="173"/>
      <c r="K61" s="21"/>
      <c r="L61" s="137"/>
      <c r="M61" s="144"/>
      <c r="N61" s="164"/>
    </row>
    <row r="62" spans="1:14">
      <c r="A62" s="689" t="s">
        <v>182</v>
      </c>
      <c r="B62" s="689"/>
      <c r="C62" s="689"/>
      <c r="D62" s="689"/>
      <c r="E62" s="689"/>
      <c r="F62" s="689"/>
      <c r="G62" s="689"/>
      <c r="H62" s="689"/>
      <c r="I62" s="21"/>
      <c r="J62" s="173"/>
      <c r="K62" s="21"/>
      <c r="L62" s="137"/>
      <c r="M62" s="144"/>
      <c r="N62" s="164"/>
    </row>
    <row r="63" spans="1:14" ht="87.75" customHeight="1">
      <c r="A63" s="693" t="s">
        <v>753</v>
      </c>
      <c r="B63" s="694"/>
      <c r="C63" s="694"/>
      <c r="D63" s="694"/>
      <c r="E63" s="694"/>
      <c r="F63" s="694"/>
      <c r="G63" s="694"/>
      <c r="H63" s="695"/>
      <c r="I63" s="21"/>
      <c r="J63" s="21"/>
      <c r="K63" s="137"/>
      <c r="L63" s="137"/>
      <c r="M63" s="144"/>
      <c r="N63" s="164"/>
    </row>
    <row r="64" spans="1:14" ht="15" customHeight="1">
      <c r="A64" s="182"/>
      <c r="B64" s="182"/>
      <c r="C64" s="182"/>
      <c r="D64" s="182"/>
      <c r="E64" s="182"/>
      <c r="F64" s="182"/>
      <c r="G64" s="182"/>
      <c r="H64" s="182"/>
      <c r="I64" s="21"/>
      <c r="J64" s="21"/>
      <c r="K64" s="137"/>
      <c r="L64" s="137"/>
      <c r="M64" s="144"/>
      <c r="N64" s="164"/>
    </row>
    <row r="65" spans="1:14" ht="36.75" customHeight="1">
      <c r="A65" s="183" t="s">
        <v>183</v>
      </c>
      <c r="B65" s="696" t="s">
        <v>184</v>
      </c>
      <c r="C65" s="696"/>
      <c r="D65" s="696"/>
      <c r="E65" s="184" t="s">
        <v>185</v>
      </c>
      <c r="F65" s="618" t="s">
        <v>186</v>
      </c>
      <c r="G65" s="618" t="s">
        <v>187</v>
      </c>
      <c r="H65" s="182"/>
      <c r="I65" s="21"/>
      <c r="J65" s="21"/>
      <c r="K65" s="137"/>
      <c r="L65" s="137"/>
      <c r="M65" s="144"/>
      <c r="N65" s="164"/>
    </row>
    <row r="66" spans="1:14" ht="15" customHeight="1">
      <c r="A66" s="697" t="s">
        <v>188</v>
      </c>
      <c r="B66" s="698" t="s">
        <v>189</v>
      </c>
      <c r="C66" s="698"/>
      <c r="D66" s="698"/>
      <c r="E66" s="699">
        <v>785</v>
      </c>
      <c r="F66" s="702">
        <v>8.8000000000000007</v>
      </c>
      <c r="G66" s="666">
        <f>E66/F66</f>
        <v>89.204545454545453</v>
      </c>
      <c r="H66" s="182"/>
      <c r="I66" s="21"/>
      <c r="J66" s="21"/>
      <c r="K66" s="137"/>
      <c r="L66" s="137"/>
      <c r="M66" s="144"/>
      <c r="N66" s="164"/>
    </row>
    <row r="67" spans="1:14" ht="15" customHeight="1">
      <c r="A67" s="697"/>
      <c r="B67" s="670" t="s">
        <v>190</v>
      </c>
      <c r="C67" s="670"/>
      <c r="D67" s="670"/>
      <c r="E67" s="700"/>
      <c r="F67" s="703"/>
      <c r="G67" s="666"/>
      <c r="H67" s="182"/>
      <c r="I67" s="21"/>
      <c r="J67" s="21"/>
      <c r="K67" s="137"/>
      <c r="L67" s="137"/>
      <c r="M67" s="144"/>
      <c r="N67" s="164"/>
    </row>
    <row r="68" spans="1:14" ht="15" customHeight="1">
      <c r="A68" s="697"/>
      <c r="B68" s="670" t="s">
        <v>191</v>
      </c>
      <c r="C68" s="670"/>
      <c r="D68" s="670"/>
      <c r="E68" s="700"/>
      <c r="F68" s="703"/>
      <c r="G68" s="666"/>
      <c r="H68" s="182"/>
      <c r="I68" s="21"/>
      <c r="J68" s="21"/>
      <c r="K68" s="137"/>
      <c r="L68" s="137"/>
      <c r="M68" s="144"/>
      <c r="N68" s="164"/>
    </row>
    <row r="69" spans="1:14" ht="15" customHeight="1">
      <c r="A69" s="697"/>
      <c r="B69" s="670" t="s">
        <v>192</v>
      </c>
      <c r="C69" s="670"/>
      <c r="D69" s="670"/>
      <c r="E69" s="700"/>
      <c r="F69" s="703"/>
      <c r="G69" s="666"/>
      <c r="H69" s="182"/>
      <c r="I69" s="21"/>
      <c r="J69" s="21"/>
      <c r="K69" s="137"/>
      <c r="L69" s="137"/>
      <c r="M69" s="144"/>
      <c r="N69" s="164"/>
    </row>
    <row r="70" spans="1:14" ht="15" customHeight="1">
      <c r="A70" s="697"/>
      <c r="B70" s="670" t="s">
        <v>193</v>
      </c>
      <c r="C70" s="670"/>
      <c r="D70" s="670"/>
      <c r="E70" s="700"/>
      <c r="F70" s="703"/>
      <c r="G70" s="666"/>
      <c r="H70" s="182"/>
      <c r="I70" s="21"/>
      <c r="J70" s="21"/>
      <c r="K70" s="137"/>
      <c r="L70" s="137"/>
      <c r="M70" s="144"/>
      <c r="N70" s="164"/>
    </row>
    <row r="71" spans="1:14" ht="15" customHeight="1">
      <c r="A71" s="697"/>
      <c r="B71" s="705" t="s">
        <v>194</v>
      </c>
      <c r="C71" s="705"/>
      <c r="D71" s="705"/>
      <c r="E71" s="701"/>
      <c r="F71" s="704"/>
      <c r="G71" s="666"/>
      <c r="H71" s="182"/>
      <c r="I71" s="21"/>
      <c r="J71" s="21"/>
      <c r="K71" s="137"/>
      <c r="L71" s="137"/>
      <c r="M71" s="144"/>
      <c r="N71" s="164"/>
    </row>
    <row r="72" spans="1:14" ht="15" customHeight="1">
      <c r="A72" s="663" t="s">
        <v>195</v>
      </c>
      <c r="B72" s="706" t="s">
        <v>196</v>
      </c>
      <c r="C72" s="706"/>
      <c r="D72" s="706"/>
      <c r="E72" s="707">
        <v>674</v>
      </c>
      <c r="F72" s="708">
        <v>9.8000000000000007</v>
      </c>
      <c r="G72" s="666">
        <f>E72/F72</f>
        <v>68.775510204081627</v>
      </c>
      <c r="H72" s="182"/>
      <c r="I72" s="21"/>
      <c r="J72" s="21"/>
      <c r="K72" s="137"/>
      <c r="L72" s="137"/>
      <c r="M72" s="144"/>
      <c r="N72" s="164"/>
    </row>
    <row r="73" spans="1:14" ht="24.95" customHeight="1">
      <c r="A73" s="663"/>
      <c r="B73" s="711" t="s">
        <v>197</v>
      </c>
      <c r="C73" s="711"/>
      <c r="D73" s="711"/>
      <c r="E73" s="707"/>
      <c r="F73" s="709"/>
      <c r="G73" s="666"/>
      <c r="H73" s="182"/>
      <c r="I73" s="21"/>
      <c r="J73" s="21"/>
      <c r="K73" s="137"/>
      <c r="L73" s="137"/>
      <c r="M73" s="144"/>
      <c r="N73" s="164"/>
    </row>
    <row r="74" spans="1:14" ht="15" customHeight="1">
      <c r="A74" s="663"/>
      <c r="B74" s="711" t="s">
        <v>198</v>
      </c>
      <c r="C74" s="711"/>
      <c r="D74" s="711"/>
      <c r="E74" s="707"/>
      <c r="F74" s="709"/>
      <c r="G74" s="666"/>
      <c r="H74" s="182"/>
      <c r="I74" s="21"/>
      <c r="J74" s="21"/>
      <c r="K74" s="137"/>
      <c r="L74" s="137"/>
      <c r="M74" s="144"/>
      <c r="N74" s="164"/>
    </row>
    <row r="75" spans="1:14" ht="15" customHeight="1">
      <c r="A75" s="663"/>
      <c r="B75" s="711" t="s">
        <v>199</v>
      </c>
      <c r="C75" s="711"/>
      <c r="D75" s="711"/>
      <c r="E75" s="707"/>
      <c r="F75" s="709"/>
      <c r="G75" s="666"/>
      <c r="H75" s="182"/>
      <c r="I75" s="21"/>
      <c r="J75" s="21"/>
      <c r="K75" s="137"/>
      <c r="L75" s="137"/>
      <c r="M75" s="144"/>
      <c r="N75" s="164"/>
    </row>
    <row r="76" spans="1:14" ht="24.95" customHeight="1">
      <c r="A76" s="663"/>
      <c r="B76" s="711" t="s">
        <v>200</v>
      </c>
      <c r="C76" s="711"/>
      <c r="D76" s="711"/>
      <c r="E76" s="707"/>
      <c r="F76" s="709"/>
      <c r="G76" s="666"/>
      <c r="H76" s="182"/>
      <c r="I76" s="21"/>
      <c r="J76" s="21"/>
      <c r="K76" s="137"/>
      <c r="L76" s="137"/>
      <c r="M76" s="144"/>
      <c r="N76" s="164"/>
    </row>
    <row r="77" spans="1:14" ht="15" customHeight="1">
      <c r="A77" s="663"/>
      <c r="B77" s="712" t="s">
        <v>201</v>
      </c>
      <c r="C77" s="712"/>
      <c r="D77" s="712"/>
      <c r="E77" s="707"/>
      <c r="F77" s="710"/>
      <c r="G77" s="666"/>
      <c r="H77" s="182"/>
      <c r="I77" s="21"/>
      <c r="J77" s="21"/>
      <c r="K77" s="137"/>
      <c r="L77" s="137"/>
      <c r="M77" s="144"/>
      <c r="N77" s="164"/>
    </row>
    <row r="78" spans="1:14" s="187" customFormat="1" ht="15" customHeight="1">
      <c r="A78" s="713" t="s">
        <v>202</v>
      </c>
      <c r="B78" s="714" t="s">
        <v>203</v>
      </c>
      <c r="C78" s="714"/>
      <c r="D78" s="714"/>
      <c r="E78" s="715">
        <v>630</v>
      </c>
      <c r="F78" s="708">
        <v>8.3000000000000007</v>
      </c>
      <c r="G78" s="667">
        <f>E78/F78</f>
        <v>75.903614457831324</v>
      </c>
      <c r="H78" s="182"/>
      <c r="I78" s="186"/>
      <c r="J78" s="186"/>
      <c r="K78" s="93"/>
      <c r="L78" s="93"/>
      <c r="M78" s="94"/>
      <c r="N78" s="101"/>
    </row>
    <row r="79" spans="1:14" s="187" customFormat="1" ht="15" customHeight="1">
      <c r="A79" s="713"/>
      <c r="B79" s="711" t="s">
        <v>204</v>
      </c>
      <c r="C79" s="711"/>
      <c r="D79" s="711"/>
      <c r="E79" s="716"/>
      <c r="F79" s="709"/>
      <c r="G79" s="668"/>
      <c r="H79" s="182"/>
      <c r="I79" s="186"/>
      <c r="J79" s="186"/>
      <c r="K79" s="93"/>
      <c r="L79" s="93"/>
      <c r="M79" s="94"/>
      <c r="N79" s="101"/>
    </row>
    <row r="80" spans="1:14" s="187" customFormat="1" ht="24.95" customHeight="1">
      <c r="A80" s="713"/>
      <c r="B80" s="711" t="s">
        <v>205</v>
      </c>
      <c r="C80" s="711"/>
      <c r="D80" s="711"/>
      <c r="E80" s="716"/>
      <c r="F80" s="709"/>
      <c r="G80" s="668"/>
      <c r="H80" s="182"/>
      <c r="I80" s="186"/>
      <c r="J80" s="186"/>
      <c r="K80" s="93"/>
      <c r="L80" s="93"/>
      <c r="M80" s="94"/>
      <c r="N80" s="101"/>
    </row>
    <row r="81" spans="1:14" s="187" customFormat="1" ht="15" customHeight="1">
      <c r="A81" s="713"/>
      <c r="B81" s="711" t="s">
        <v>192</v>
      </c>
      <c r="C81" s="711"/>
      <c r="D81" s="711"/>
      <c r="E81" s="716"/>
      <c r="F81" s="709"/>
      <c r="G81" s="668"/>
      <c r="H81" s="182"/>
      <c r="I81" s="186"/>
      <c r="J81" s="186"/>
      <c r="K81" s="93"/>
      <c r="L81" s="93"/>
      <c r="M81" s="94"/>
      <c r="N81" s="101"/>
    </row>
    <row r="82" spans="1:14" ht="15" customHeight="1">
      <c r="A82" s="713"/>
      <c r="B82" s="718" t="s">
        <v>193</v>
      </c>
      <c r="C82" s="718"/>
      <c r="D82" s="718"/>
      <c r="E82" s="716"/>
      <c r="F82" s="709"/>
      <c r="G82" s="668"/>
      <c r="H82" s="182"/>
      <c r="I82" s="21"/>
      <c r="J82" s="21"/>
      <c r="K82" s="137"/>
      <c r="L82" s="137"/>
      <c r="M82" s="144"/>
      <c r="N82" s="164"/>
    </row>
    <row r="83" spans="1:14" ht="15" customHeight="1">
      <c r="A83" s="713"/>
      <c r="B83" s="712" t="s">
        <v>194</v>
      </c>
      <c r="C83" s="712"/>
      <c r="D83" s="712"/>
      <c r="E83" s="717"/>
      <c r="F83" s="710"/>
      <c r="G83" s="669"/>
      <c r="H83" s="182"/>
      <c r="I83" s="21"/>
      <c r="J83" s="21"/>
      <c r="K83" s="137"/>
      <c r="L83" s="137"/>
      <c r="M83" s="144"/>
      <c r="N83" s="164"/>
    </row>
    <row r="84" spans="1:14" ht="15" customHeight="1">
      <c r="A84" s="663" t="s">
        <v>206</v>
      </c>
      <c r="B84" s="714" t="s">
        <v>207</v>
      </c>
      <c r="C84" s="714"/>
      <c r="D84" s="714"/>
      <c r="E84" s="715">
        <v>616</v>
      </c>
      <c r="F84" s="708">
        <v>7.2</v>
      </c>
      <c r="G84" s="667">
        <f>E84/F84</f>
        <v>85.555555555555557</v>
      </c>
      <c r="H84" s="182"/>
      <c r="I84" s="21"/>
      <c r="J84" s="21"/>
      <c r="K84" s="137"/>
      <c r="L84" s="137"/>
      <c r="M84" s="144"/>
      <c r="N84" s="164"/>
    </row>
    <row r="85" spans="1:14" ht="15" customHeight="1">
      <c r="A85" s="663"/>
      <c r="B85" s="711" t="s">
        <v>208</v>
      </c>
      <c r="C85" s="711"/>
      <c r="D85" s="711"/>
      <c r="E85" s="716"/>
      <c r="F85" s="709"/>
      <c r="G85" s="668"/>
      <c r="H85" s="182"/>
      <c r="I85" s="21"/>
      <c r="J85" s="21"/>
      <c r="K85" s="137"/>
      <c r="L85" s="137"/>
      <c r="M85" s="144"/>
      <c r="N85" s="164"/>
    </row>
    <row r="86" spans="1:14" ht="15" customHeight="1">
      <c r="A86" s="663"/>
      <c r="B86" s="711" t="s">
        <v>198</v>
      </c>
      <c r="C86" s="711"/>
      <c r="D86" s="711"/>
      <c r="E86" s="716"/>
      <c r="F86" s="709"/>
      <c r="G86" s="668"/>
      <c r="H86" s="182"/>
      <c r="I86" s="21"/>
      <c r="J86" s="21"/>
      <c r="K86" s="137"/>
      <c r="L86" s="137"/>
      <c r="M86" s="144"/>
      <c r="N86" s="164"/>
    </row>
    <row r="87" spans="1:14" ht="15" customHeight="1">
      <c r="A87" s="663"/>
      <c r="B87" s="711" t="s">
        <v>199</v>
      </c>
      <c r="C87" s="711"/>
      <c r="D87" s="711"/>
      <c r="E87" s="716"/>
      <c r="F87" s="709"/>
      <c r="G87" s="668"/>
      <c r="H87" s="182"/>
      <c r="I87" s="21"/>
      <c r="J87" s="21"/>
      <c r="K87" s="137"/>
      <c r="L87" s="137"/>
      <c r="M87" s="144"/>
      <c r="N87" s="164"/>
    </row>
    <row r="88" spans="1:14" ht="24.95" customHeight="1">
      <c r="A88" s="663"/>
      <c r="B88" s="711" t="s">
        <v>200</v>
      </c>
      <c r="C88" s="711"/>
      <c r="D88" s="711"/>
      <c r="E88" s="716"/>
      <c r="F88" s="709"/>
      <c r="G88" s="668"/>
      <c r="H88" s="182"/>
      <c r="I88" s="21"/>
      <c r="J88" s="21"/>
      <c r="K88" s="137"/>
      <c r="L88" s="137"/>
      <c r="M88" s="144"/>
      <c r="N88" s="164"/>
    </row>
    <row r="89" spans="1:14" ht="15" customHeight="1">
      <c r="A89" s="663"/>
      <c r="B89" s="712" t="s">
        <v>201</v>
      </c>
      <c r="C89" s="712"/>
      <c r="D89" s="712"/>
      <c r="E89" s="717"/>
      <c r="F89" s="710"/>
      <c r="G89" s="669"/>
      <c r="H89" s="182"/>
      <c r="I89" s="21"/>
      <c r="J89" s="21"/>
      <c r="K89" s="137"/>
      <c r="L89" s="137"/>
      <c r="M89" s="144"/>
      <c r="N89" s="164"/>
    </row>
    <row r="90" spans="1:14" ht="15" customHeight="1">
      <c r="A90" s="663" t="s">
        <v>209</v>
      </c>
      <c r="B90" s="718" t="s">
        <v>189</v>
      </c>
      <c r="C90" s="718"/>
      <c r="D90" s="718"/>
      <c r="E90" s="715">
        <v>724</v>
      </c>
      <c r="F90" s="708">
        <v>8</v>
      </c>
      <c r="G90" s="667">
        <f>E90/F90</f>
        <v>90.5</v>
      </c>
      <c r="H90" s="182"/>
      <c r="I90" s="21"/>
      <c r="J90" s="21"/>
      <c r="K90" s="137"/>
      <c r="L90" s="137"/>
      <c r="M90" s="144"/>
      <c r="N90" s="164"/>
    </row>
    <row r="91" spans="1:14" ht="15" customHeight="1">
      <c r="A91" s="663"/>
      <c r="B91" s="718" t="s">
        <v>190</v>
      </c>
      <c r="C91" s="718"/>
      <c r="D91" s="718"/>
      <c r="E91" s="716"/>
      <c r="F91" s="709"/>
      <c r="G91" s="668"/>
      <c r="H91" s="182"/>
      <c r="I91" s="21"/>
      <c r="J91" s="21"/>
      <c r="K91" s="137"/>
      <c r="L91" s="137"/>
      <c r="M91" s="144"/>
      <c r="N91" s="164"/>
    </row>
    <row r="92" spans="1:14" ht="15" customHeight="1">
      <c r="A92" s="663"/>
      <c r="B92" s="718" t="s">
        <v>191</v>
      </c>
      <c r="C92" s="718"/>
      <c r="D92" s="718"/>
      <c r="E92" s="716"/>
      <c r="F92" s="709"/>
      <c r="G92" s="668"/>
      <c r="H92" s="182"/>
      <c r="I92" s="21"/>
      <c r="J92" s="21"/>
      <c r="K92" s="137"/>
      <c r="L92" s="137"/>
      <c r="M92" s="144"/>
      <c r="N92" s="164"/>
    </row>
    <row r="93" spans="1:14" ht="15" customHeight="1">
      <c r="A93" s="663"/>
      <c r="B93" s="711" t="s">
        <v>192</v>
      </c>
      <c r="C93" s="711"/>
      <c r="D93" s="711"/>
      <c r="E93" s="716"/>
      <c r="F93" s="709"/>
      <c r="G93" s="668"/>
      <c r="H93" s="182"/>
      <c r="I93" s="21"/>
      <c r="J93" s="21"/>
      <c r="K93" s="137"/>
      <c r="L93" s="137"/>
      <c r="M93" s="144"/>
      <c r="N93" s="164"/>
    </row>
    <row r="94" spans="1:14" ht="15" customHeight="1">
      <c r="A94" s="663"/>
      <c r="B94" s="718" t="s">
        <v>193</v>
      </c>
      <c r="C94" s="718"/>
      <c r="D94" s="718"/>
      <c r="E94" s="716"/>
      <c r="F94" s="709"/>
      <c r="G94" s="668"/>
      <c r="H94" s="182"/>
      <c r="I94" s="21"/>
      <c r="J94" s="21"/>
      <c r="K94" s="137"/>
      <c r="L94" s="137"/>
      <c r="M94" s="144"/>
      <c r="N94" s="164"/>
    </row>
    <row r="95" spans="1:14" ht="15" customHeight="1">
      <c r="A95" s="663"/>
      <c r="B95" s="712" t="s">
        <v>194</v>
      </c>
      <c r="C95" s="712"/>
      <c r="D95" s="712"/>
      <c r="E95" s="717"/>
      <c r="F95" s="710"/>
      <c r="G95" s="669"/>
      <c r="H95" s="182"/>
      <c r="I95" s="21"/>
      <c r="J95" s="21"/>
      <c r="K95" s="137"/>
      <c r="L95" s="137"/>
      <c r="M95" s="144"/>
      <c r="N95" s="164"/>
    </row>
    <row r="96" spans="1:14" ht="15" customHeight="1">
      <c r="A96" s="719" t="s">
        <v>210</v>
      </c>
      <c r="B96" s="706" t="s">
        <v>203</v>
      </c>
      <c r="C96" s="706"/>
      <c r="D96" s="706"/>
      <c r="E96" s="707">
        <v>616</v>
      </c>
      <c r="F96" s="708">
        <v>8.8000000000000007</v>
      </c>
      <c r="G96" s="667">
        <f>E96/F96</f>
        <v>70</v>
      </c>
      <c r="H96" s="182"/>
      <c r="I96" s="21"/>
      <c r="J96" s="21"/>
      <c r="K96" s="137"/>
      <c r="L96" s="137"/>
      <c r="M96" s="144"/>
      <c r="N96" s="164"/>
    </row>
    <row r="97" spans="1:14" ht="24.95" customHeight="1">
      <c r="A97" s="719"/>
      <c r="B97" s="711" t="s">
        <v>211</v>
      </c>
      <c r="C97" s="711"/>
      <c r="D97" s="711"/>
      <c r="E97" s="707"/>
      <c r="F97" s="709"/>
      <c r="G97" s="668"/>
      <c r="H97" s="182"/>
      <c r="I97" s="21"/>
      <c r="J97" s="21"/>
      <c r="K97" s="137"/>
      <c r="L97" s="137"/>
      <c r="M97" s="144"/>
      <c r="N97" s="164"/>
    </row>
    <row r="98" spans="1:14" ht="15" customHeight="1">
      <c r="A98" s="719"/>
      <c r="B98" s="711" t="s">
        <v>212</v>
      </c>
      <c r="C98" s="711"/>
      <c r="D98" s="711"/>
      <c r="E98" s="707"/>
      <c r="F98" s="709"/>
      <c r="G98" s="668"/>
      <c r="H98" s="182"/>
      <c r="I98" s="21"/>
      <c r="J98" s="21"/>
      <c r="K98" s="137"/>
      <c r="L98" s="137"/>
      <c r="M98" s="144"/>
      <c r="N98" s="164"/>
    </row>
    <row r="99" spans="1:14" ht="15" customHeight="1">
      <c r="A99" s="719"/>
      <c r="B99" s="711" t="s">
        <v>199</v>
      </c>
      <c r="C99" s="711"/>
      <c r="D99" s="711"/>
      <c r="E99" s="707"/>
      <c r="F99" s="709"/>
      <c r="G99" s="668"/>
      <c r="H99" s="182"/>
      <c r="I99" s="21"/>
      <c r="J99" s="21"/>
      <c r="K99" s="137"/>
      <c r="L99" s="137"/>
      <c r="M99" s="144"/>
      <c r="N99" s="164"/>
    </row>
    <row r="100" spans="1:14" ht="24.95" customHeight="1">
      <c r="A100" s="719"/>
      <c r="B100" s="711" t="s">
        <v>200</v>
      </c>
      <c r="C100" s="711"/>
      <c r="D100" s="711"/>
      <c r="E100" s="707"/>
      <c r="F100" s="709"/>
      <c r="G100" s="668"/>
      <c r="H100" s="182"/>
      <c r="I100" s="21"/>
      <c r="J100" s="21"/>
      <c r="K100" s="137"/>
      <c r="L100" s="137"/>
      <c r="M100" s="144"/>
      <c r="N100" s="164"/>
    </row>
    <row r="101" spans="1:14" ht="15" customHeight="1">
      <c r="A101" s="719"/>
      <c r="B101" s="722" t="s">
        <v>201</v>
      </c>
      <c r="C101" s="722"/>
      <c r="D101" s="722"/>
      <c r="E101" s="720"/>
      <c r="F101" s="721"/>
      <c r="G101" s="669"/>
      <c r="H101" s="182"/>
      <c r="I101" s="21"/>
      <c r="J101" s="21"/>
      <c r="K101" s="137"/>
      <c r="L101" s="137"/>
      <c r="M101" s="144"/>
      <c r="N101" s="164"/>
    </row>
    <row r="102" spans="1:14" ht="15" customHeight="1">
      <c r="A102" s="723" t="s">
        <v>213</v>
      </c>
      <c r="B102" s="723"/>
      <c r="C102" s="723"/>
      <c r="D102" s="723"/>
      <c r="E102" s="188">
        <f>SUM(E66:E101)</f>
        <v>4045</v>
      </c>
      <c r="F102" s="188">
        <f>SUM(F66:F96)</f>
        <v>50.900000000000006</v>
      </c>
      <c r="G102" s="182"/>
      <c r="H102" s="182"/>
      <c r="I102" s="21"/>
      <c r="J102" s="21"/>
      <c r="K102" s="137"/>
      <c r="L102" s="137"/>
      <c r="M102" s="144"/>
      <c r="N102" s="164"/>
    </row>
    <row r="103" spans="1:14" ht="15" customHeight="1">
      <c r="A103" s="724" t="s">
        <v>214</v>
      </c>
      <c r="B103" s="724"/>
      <c r="C103" s="724"/>
      <c r="D103" s="724"/>
      <c r="E103" s="189">
        <f>E102*4.34</f>
        <v>17555.3</v>
      </c>
      <c r="F103" s="190">
        <f>F102*4.34</f>
        <v>220.90600000000001</v>
      </c>
      <c r="G103" s="182"/>
      <c r="H103" s="182"/>
      <c r="I103" s="21"/>
      <c r="J103" s="21"/>
      <c r="K103" s="137"/>
      <c r="L103" s="137"/>
      <c r="M103" s="144"/>
      <c r="N103" s="164"/>
    </row>
    <row r="104" spans="1:14" ht="15" customHeight="1">
      <c r="A104" s="182"/>
      <c r="B104" s="182"/>
      <c r="C104" s="182"/>
      <c r="D104" s="182"/>
      <c r="E104" s="182"/>
      <c r="F104" s="182"/>
      <c r="G104" s="182"/>
      <c r="H104" s="182"/>
      <c r="I104" s="21"/>
      <c r="J104" s="21"/>
      <c r="K104" s="137"/>
      <c r="L104" s="137"/>
      <c r="M104" s="144"/>
      <c r="N104" s="164"/>
    </row>
    <row r="105" spans="1:14">
      <c r="A105" s="155" t="s">
        <v>710</v>
      </c>
      <c r="B105" s="21"/>
      <c r="C105" s="21"/>
      <c r="E105" s="191"/>
      <c r="F105" s="192"/>
      <c r="G105" s="192"/>
      <c r="H105" s="193"/>
      <c r="I105" s="21"/>
      <c r="J105" s="21"/>
      <c r="K105" s="137"/>
      <c r="L105" s="137"/>
      <c r="M105" s="144"/>
      <c r="N105" s="164"/>
    </row>
    <row r="106" spans="1:14" ht="22.5">
      <c r="A106" s="36" t="s">
        <v>215</v>
      </c>
      <c r="B106" s="45" t="s">
        <v>216</v>
      </c>
      <c r="C106" s="45" t="s">
        <v>217</v>
      </c>
      <c r="D106" s="194" t="s">
        <v>218</v>
      </c>
      <c r="E106" s="90" t="s">
        <v>219</v>
      </c>
      <c r="H106" s="193"/>
      <c r="I106" s="21"/>
      <c r="J106" s="21"/>
      <c r="K106" s="137"/>
      <c r="L106" s="137"/>
      <c r="M106" s="144"/>
      <c r="N106" s="164"/>
    </row>
    <row r="107" spans="1:14">
      <c r="A107" s="26" t="s">
        <v>188</v>
      </c>
      <c r="B107" s="195">
        <f t="shared" ref="B107:B112" si="2">D107-C107</f>
        <v>556.20000000000005</v>
      </c>
      <c r="C107" s="195">
        <f t="shared" ref="C107:C112" si="3">E107*26</f>
        <v>228.8</v>
      </c>
      <c r="D107" s="196">
        <f>E66</f>
        <v>785</v>
      </c>
      <c r="E107" s="197">
        <f>F66</f>
        <v>8.8000000000000007</v>
      </c>
      <c r="H107" s="193"/>
      <c r="I107" s="21"/>
      <c r="J107" s="21"/>
      <c r="K107" s="137"/>
      <c r="L107" s="137"/>
      <c r="M107" s="144"/>
      <c r="N107" s="164"/>
    </row>
    <row r="108" spans="1:14">
      <c r="A108" s="26" t="s">
        <v>195</v>
      </c>
      <c r="B108" s="195">
        <f t="shared" si="2"/>
        <v>419.2</v>
      </c>
      <c r="C108" s="195">
        <f t="shared" si="3"/>
        <v>254.8</v>
      </c>
      <c r="D108" s="196">
        <f>E72</f>
        <v>674</v>
      </c>
      <c r="E108" s="197">
        <f>F72</f>
        <v>9.8000000000000007</v>
      </c>
      <c r="H108" s="193"/>
      <c r="I108" s="21"/>
      <c r="J108" s="21"/>
      <c r="K108" s="137"/>
      <c r="L108" s="137"/>
      <c r="M108" s="144"/>
      <c r="N108" s="164"/>
    </row>
    <row r="109" spans="1:14">
      <c r="A109" s="26" t="s">
        <v>202</v>
      </c>
      <c r="B109" s="195">
        <f t="shared" si="2"/>
        <v>414.2</v>
      </c>
      <c r="C109" s="195">
        <f t="shared" si="3"/>
        <v>215.8</v>
      </c>
      <c r="D109" s="196">
        <f>E78</f>
        <v>630</v>
      </c>
      <c r="E109" s="197">
        <f>F78</f>
        <v>8.3000000000000007</v>
      </c>
      <c r="H109" s="193"/>
      <c r="I109" s="21"/>
      <c r="J109" s="21"/>
      <c r="K109" s="137"/>
      <c r="L109" s="137"/>
      <c r="M109" s="144"/>
      <c r="N109" s="164"/>
    </row>
    <row r="110" spans="1:14">
      <c r="A110" s="26" t="s">
        <v>206</v>
      </c>
      <c r="B110" s="195">
        <f t="shared" si="2"/>
        <v>428.79999999999995</v>
      </c>
      <c r="C110" s="195">
        <f t="shared" si="3"/>
        <v>187.20000000000002</v>
      </c>
      <c r="D110" s="196">
        <f>E84</f>
        <v>616</v>
      </c>
      <c r="E110" s="197">
        <f>F84</f>
        <v>7.2</v>
      </c>
      <c r="H110" s="193"/>
      <c r="I110" s="21"/>
      <c r="J110" s="21"/>
      <c r="K110" s="137"/>
      <c r="L110" s="137"/>
      <c r="M110" s="144"/>
      <c r="N110" s="164"/>
    </row>
    <row r="111" spans="1:14">
      <c r="A111" s="26" t="s">
        <v>209</v>
      </c>
      <c r="B111" s="195">
        <f t="shared" si="2"/>
        <v>516</v>
      </c>
      <c r="C111" s="195">
        <f t="shared" si="3"/>
        <v>208</v>
      </c>
      <c r="D111" s="196">
        <f>E90</f>
        <v>724</v>
      </c>
      <c r="E111" s="197">
        <f>F90</f>
        <v>8</v>
      </c>
      <c r="H111" s="193"/>
      <c r="I111" s="21"/>
      <c r="J111" s="21"/>
      <c r="K111" s="137"/>
      <c r="L111" s="137"/>
      <c r="M111" s="144"/>
      <c r="N111" s="164"/>
    </row>
    <row r="112" spans="1:14">
      <c r="A112" s="26" t="s">
        <v>210</v>
      </c>
      <c r="B112" s="195">
        <f t="shared" si="2"/>
        <v>387.2</v>
      </c>
      <c r="C112" s="195">
        <f t="shared" si="3"/>
        <v>228.8</v>
      </c>
      <c r="D112" s="196">
        <f>E96</f>
        <v>616</v>
      </c>
      <c r="E112" s="197">
        <f>F96</f>
        <v>8.8000000000000007</v>
      </c>
      <c r="H112" s="193"/>
      <c r="I112" s="21"/>
      <c r="J112" s="21"/>
      <c r="K112" s="137"/>
      <c r="L112" s="137"/>
      <c r="M112" s="144"/>
      <c r="N112" s="164"/>
    </row>
    <row r="113" spans="1:18">
      <c r="A113" s="36" t="s">
        <v>213</v>
      </c>
      <c r="B113" s="198">
        <f>SUM(B107:B112)</f>
        <v>2721.6</v>
      </c>
      <c r="C113" s="198">
        <f>SUM(C107:C112)</f>
        <v>1323.4</v>
      </c>
      <c r="D113" s="199">
        <f>SUM(D107:D112)</f>
        <v>4045</v>
      </c>
      <c r="E113" s="198">
        <f>SUM(E107:E112)</f>
        <v>50.900000000000006</v>
      </c>
      <c r="H113" s="193"/>
      <c r="I113" s="21"/>
      <c r="J113" s="21"/>
      <c r="K113" s="137"/>
      <c r="L113" s="137"/>
      <c r="M113" s="144"/>
      <c r="N113" s="164"/>
    </row>
    <row r="114" spans="1:18" ht="15" customHeight="1">
      <c r="A114" s="78" t="s">
        <v>214</v>
      </c>
      <c r="B114" s="200">
        <f>B113*4.34</f>
        <v>11811.743999999999</v>
      </c>
      <c r="C114" s="200">
        <f>C113*4.34</f>
        <v>5743.5560000000005</v>
      </c>
      <c r="D114" s="79">
        <f>D113*4.34</f>
        <v>17555.3</v>
      </c>
      <c r="E114" s="650">
        <f>E113*4.34</f>
        <v>220.90600000000001</v>
      </c>
      <c r="I114" s="21"/>
      <c r="K114" s="137"/>
      <c r="L114" s="137"/>
      <c r="M114" s="144"/>
      <c r="N114" s="164"/>
    </row>
    <row r="115" spans="1:18" ht="15" customHeight="1">
      <c r="D115" s="201"/>
      <c r="I115" s="202"/>
      <c r="J115" s="21"/>
      <c r="K115" s="137"/>
      <c r="L115" s="157"/>
      <c r="M115" s="165"/>
      <c r="N115" s="166"/>
    </row>
    <row r="116" spans="1:18" ht="15" customHeight="1">
      <c r="A116" s="725" t="s">
        <v>220</v>
      </c>
      <c r="B116" s="725"/>
      <c r="C116" s="725"/>
      <c r="D116" s="725"/>
      <c r="E116" s="88">
        <v>7.5</v>
      </c>
      <c r="F116" s="21"/>
      <c r="G116" s="70"/>
      <c r="H116" s="21"/>
      <c r="I116" s="21"/>
      <c r="J116" s="21"/>
      <c r="K116" s="162"/>
      <c r="L116" s="162"/>
      <c r="M116" s="163"/>
      <c r="N116" s="163"/>
    </row>
    <row r="117" spans="1:18" ht="14.25" customHeight="1">
      <c r="A117" s="681" t="s">
        <v>221</v>
      </c>
      <c r="B117" s="681"/>
      <c r="C117" s="681"/>
      <c r="D117" s="681"/>
      <c r="E117" s="204">
        <f>E114/26</f>
        <v>8.4963846153846152</v>
      </c>
      <c r="I117" s="22"/>
      <c r="J117" s="22"/>
      <c r="K117" s="137"/>
      <c r="L117" s="137"/>
      <c r="M117" s="144"/>
      <c r="N117" s="164"/>
    </row>
    <row r="118" spans="1:18" ht="15" customHeight="1">
      <c r="A118" s="725" t="s">
        <v>222</v>
      </c>
      <c r="B118" s="725"/>
      <c r="C118" s="725"/>
      <c r="D118" s="725"/>
      <c r="E118" s="205">
        <f>G32/26/2/7.5</f>
        <v>3.8717948717948718</v>
      </c>
      <c r="I118" s="132"/>
      <c r="K118" s="137"/>
      <c r="L118" s="137"/>
      <c r="M118" s="144"/>
      <c r="N118" s="164"/>
    </row>
    <row r="119" spans="1:18" ht="15" customHeight="1">
      <c r="A119" s="681" t="s">
        <v>223</v>
      </c>
      <c r="B119" s="681"/>
      <c r="C119" s="681"/>
      <c r="D119" s="681"/>
      <c r="E119" s="204">
        <f>E117/E118</f>
        <v>2.1944304635761589</v>
      </c>
      <c r="I119" s="206"/>
      <c r="K119" s="137"/>
      <c r="L119" s="137"/>
      <c r="M119" s="144"/>
      <c r="N119" s="164"/>
    </row>
    <row r="120" spans="1:18" ht="15" customHeight="1">
      <c r="A120" s="681" t="s">
        <v>224</v>
      </c>
      <c r="B120" s="681"/>
      <c r="C120" s="681"/>
      <c r="D120" s="681"/>
      <c r="E120" s="207">
        <f>B114</f>
        <v>11811.743999999999</v>
      </c>
      <c r="I120" s="131"/>
      <c r="K120" s="137"/>
      <c r="L120" s="157"/>
      <c r="M120" s="165"/>
      <c r="N120" s="166"/>
    </row>
    <row r="121" spans="1:18" ht="15" customHeight="1">
      <c r="A121" s="681" t="s">
        <v>225</v>
      </c>
      <c r="B121" s="681"/>
      <c r="C121" s="681"/>
      <c r="D121" s="681"/>
      <c r="E121" s="208">
        <f>E120/4</f>
        <v>2952.9359999999997</v>
      </c>
      <c r="F121" s="21"/>
      <c r="I121" s="131"/>
      <c r="K121" s="137"/>
      <c r="L121" s="157"/>
      <c r="M121" s="165"/>
      <c r="N121" s="166"/>
    </row>
    <row r="122" spans="1:18" ht="15" customHeight="1">
      <c r="A122" s="725" t="s">
        <v>226</v>
      </c>
      <c r="B122" s="725"/>
      <c r="C122" s="725"/>
      <c r="D122" s="725"/>
      <c r="E122" s="209">
        <f>E121/26/2/7.33</f>
        <v>7.7472347570574023</v>
      </c>
      <c r="J122" s="210"/>
      <c r="K122" s="138"/>
      <c r="L122" s="138"/>
      <c r="M122" s="138"/>
      <c r="N122" s="138"/>
    </row>
    <row r="123" spans="1:18" ht="15" customHeight="1">
      <c r="D123" s="211"/>
      <c r="J123" s="22"/>
      <c r="K123" s="162"/>
      <c r="L123" s="162"/>
      <c r="M123" s="163"/>
      <c r="N123" s="163"/>
    </row>
    <row r="124" spans="1:18" ht="13.5" customHeight="1">
      <c r="A124" s="1" t="s">
        <v>227</v>
      </c>
      <c r="B124" s="21"/>
      <c r="C124" s="21"/>
      <c r="D124" s="21"/>
      <c r="E124" s="173"/>
      <c r="F124" s="21"/>
      <c r="G124" s="21"/>
      <c r="H124" s="21"/>
      <c r="I124" s="22"/>
      <c r="J124" s="22"/>
      <c r="K124" s="137"/>
      <c r="L124" s="137"/>
      <c r="M124" s="144"/>
      <c r="N124" s="148"/>
    </row>
    <row r="125" spans="1:18">
      <c r="A125" s="155" t="s">
        <v>766</v>
      </c>
      <c r="B125" s="21"/>
      <c r="C125" s="21"/>
      <c r="D125" s="21"/>
      <c r="E125" s="21"/>
      <c r="F125" s="212"/>
      <c r="G125" s="21"/>
      <c r="H125" s="21"/>
      <c r="I125" s="22"/>
      <c r="J125" s="22"/>
      <c r="K125" s="137"/>
      <c r="L125" s="157"/>
      <c r="M125" s="165"/>
      <c r="N125" s="166"/>
    </row>
    <row r="126" spans="1:18">
      <c r="A126" s="1"/>
      <c r="B126" s="21"/>
      <c r="C126" s="21"/>
      <c r="D126" s="21"/>
      <c r="E126" s="192"/>
      <c r="F126" s="212"/>
      <c r="G126" s="21"/>
      <c r="H126" s="21"/>
      <c r="I126" s="22"/>
      <c r="J126" s="22"/>
      <c r="K126" s="137"/>
      <c r="L126" s="213"/>
      <c r="M126" s="214"/>
      <c r="N126" s="215"/>
      <c r="O126" s="216"/>
      <c r="P126" s="216"/>
      <c r="Q126" s="216"/>
      <c r="R126" s="216"/>
    </row>
    <row r="127" spans="1:18">
      <c r="A127" s="217" t="s">
        <v>228</v>
      </c>
      <c r="B127" s="217"/>
      <c r="C127" s="218"/>
      <c r="D127" s="219"/>
      <c r="E127" s="220">
        <f>B114</f>
        <v>11811.743999999999</v>
      </c>
      <c r="F127" s="130" t="s">
        <v>229</v>
      </c>
      <c r="G127" s="21"/>
      <c r="H127" s="21"/>
      <c r="I127" s="22"/>
      <c r="J127" s="175"/>
      <c r="K127" s="137"/>
      <c r="L127" s="221"/>
      <c r="M127" s="222"/>
      <c r="N127" s="223"/>
      <c r="O127" s="216"/>
      <c r="P127" s="216"/>
      <c r="Q127" s="216"/>
      <c r="R127" s="216"/>
    </row>
    <row r="128" spans="1:18">
      <c r="A128" s="689" t="s">
        <v>230</v>
      </c>
      <c r="B128" s="689"/>
      <c r="C128" s="689"/>
      <c r="D128" s="689"/>
      <c r="E128" s="220">
        <f>13*2*E114</f>
        <v>5743.5560000000005</v>
      </c>
      <c r="F128" s="130" t="s">
        <v>229</v>
      </c>
      <c r="G128" s="21"/>
      <c r="H128" s="21"/>
      <c r="I128" s="22"/>
      <c r="J128" s="22"/>
      <c r="K128" s="137"/>
      <c r="L128" s="213"/>
      <c r="M128" s="222"/>
      <c r="N128" s="224"/>
      <c r="O128" s="216"/>
      <c r="P128" s="216"/>
      <c r="Q128" s="216"/>
      <c r="R128" s="216"/>
    </row>
    <row r="129" spans="1:18">
      <c r="A129" s="126"/>
      <c r="B129" s="126"/>
      <c r="C129" s="126"/>
      <c r="D129" s="126"/>
      <c r="E129" s="225"/>
      <c r="F129" s="130"/>
      <c r="G129" s="156"/>
      <c r="H129" s="156"/>
      <c r="I129" s="22"/>
      <c r="J129" s="22"/>
      <c r="K129" s="137"/>
      <c r="L129" s="213"/>
      <c r="M129" s="222"/>
      <c r="N129" s="224"/>
      <c r="O129" s="216"/>
      <c r="P129" s="216"/>
      <c r="Q129" s="216"/>
      <c r="R129" s="216"/>
    </row>
    <row r="130" spans="1:18" ht="36" customHeight="1">
      <c r="A130" s="726" t="s">
        <v>231</v>
      </c>
      <c r="B130" s="726"/>
      <c r="C130" s="726"/>
      <c r="D130" s="726"/>
      <c r="E130" s="726"/>
      <c r="F130" s="726"/>
      <c r="G130" s="726"/>
      <c r="H130" s="726"/>
      <c r="I130" s="22"/>
      <c r="J130" s="22"/>
      <c r="K130" s="137"/>
      <c r="L130" s="213"/>
      <c r="M130" s="222"/>
      <c r="N130" s="224"/>
      <c r="O130" s="216"/>
      <c r="P130" s="216"/>
      <c r="Q130" s="216"/>
      <c r="R130" s="216"/>
    </row>
    <row r="131" spans="1:18">
      <c r="A131" s="21"/>
      <c r="B131" s="21"/>
      <c r="C131" s="21"/>
      <c r="D131" s="21"/>
      <c r="E131" s="21"/>
      <c r="F131" s="21"/>
      <c r="G131" s="21"/>
      <c r="H131" s="21"/>
      <c r="I131" s="22"/>
      <c r="J131" s="22"/>
      <c r="K131" s="137"/>
      <c r="L131" s="221"/>
      <c r="M131" s="185"/>
      <c r="N131" s="224"/>
      <c r="O131" s="216"/>
      <c r="P131" s="216"/>
      <c r="Q131" s="216"/>
      <c r="R131" s="216"/>
    </row>
    <row r="132" spans="1:18">
      <c r="A132" s="226" t="s">
        <v>232</v>
      </c>
      <c r="B132" s="227"/>
      <c r="C132" s="227"/>
      <c r="D132" s="227"/>
      <c r="E132" s="227"/>
      <c r="F132" s="227"/>
      <c r="G132" s="227"/>
      <c r="H132" s="21"/>
      <c r="I132" s="22"/>
      <c r="J132" s="22"/>
      <c r="K132" s="137"/>
      <c r="L132" s="213"/>
      <c r="M132" s="213"/>
      <c r="N132" s="213"/>
      <c r="O132" s="216"/>
      <c r="P132" s="216"/>
      <c r="Q132" s="216"/>
      <c r="R132" s="216"/>
    </row>
    <row r="133" spans="1:18" ht="48" customHeight="1">
      <c r="A133" s="727" t="s">
        <v>233</v>
      </c>
      <c r="B133" s="727"/>
      <c r="C133" s="727"/>
      <c r="D133" s="727"/>
      <c r="E133" s="727"/>
      <c r="F133" s="727"/>
      <c r="G133" s="727"/>
      <c r="H133" s="727"/>
      <c r="I133" s="143"/>
      <c r="J133" s="143"/>
      <c r="K133" s="137"/>
      <c r="L133" s="213"/>
      <c r="M133" s="213"/>
      <c r="N133" s="213"/>
      <c r="O133" s="216"/>
      <c r="P133" s="216"/>
      <c r="Q133" s="216"/>
      <c r="R133" s="216"/>
    </row>
    <row r="134" spans="1:18">
      <c r="A134" s="63"/>
      <c r="B134" s="63"/>
      <c r="C134" s="63"/>
      <c r="D134" s="63"/>
      <c r="E134" s="63"/>
      <c r="F134" s="63"/>
      <c r="G134" s="63"/>
      <c r="H134" s="63"/>
      <c r="I134" s="143"/>
      <c r="J134" s="143"/>
      <c r="K134" s="138"/>
      <c r="L134" s="228"/>
      <c r="M134" s="228"/>
      <c r="N134" s="228"/>
      <c r="O134" s="216"/>
      <c r="P134" s="216"/>
      <c r="Q134" s="216"/>
      <c r="R134" s="216"/>
    </row>
    <row r="135" spans="1:18">
      <c r="A135" s="21" t="s">
        <v>234</v>
      </c>
      <c r="B135" s="21"/>
      <c r="C135" s="21"/>
      <c r="D135" s="21"/>
      <c r="E135" s="21"/>
      <c r="F135" s="21"/>
      <c r="G135" s="21"/>
      <c r="H135" s="21"/>
      <c r="I135" s="22"/>
      <c r="J135" s="22"/>
      <c r="K135" s="137"/>
      <c r="L135" s="213"/>
      <c r="M135" s="214"/>
      <c r="N135" s="229"/>
      <c r="O135" s="216"/>
      <c r="P135" s="216"/>
      <c r="Q135" s="216"/>
      <c r="R135" s="216"/>
    </row>
    <row r="136" spans="1:18">
      <c r="A136" s="21"/>
      <c r="B136" s="21"/>
      <c r="C136" s="21"/>
      <c r="D136" s="21"/>
      <c r="E136" s="230" t="s">
        <v>235</v>
      </c>
      <c r="F136" s="230" t="s">
        <v>236</v>
      </c>
      <c r="G136" s="230" t="s">
        <v>237</v>
      </c>
      <c r="H136" s="231" t="s">
        <v>238</v>
      </c>
      <c r="I136" s="22"/>
      <c r="J136" s="22"/>
      <c r="K136" s="137"/>
      <c r="L136" s="213"/>
      <c r="M136" s="214"/>
      <c r="N136" s="229"/>
      <c r="O136" s="216"/>
      <c r="P136" s="216"/>
      <c r="Q136" s="216"/>
      <c r="R136" s="216"/>
    </row>
    <row r="137" spans="1:18">
      <c r="A137" s="683" t="s">
        <v>239</v>
      </c>
      <c r="B137" s="683"/>
      <c r="C137" s="683"/>
      <c r="D137" s="683"/>
      <c r="E137" s="619">
        <v>4</v>
      </c>
      <c r="F137" s="619">
        <v>4</v>
      </c>
      <c r="G137" s="619">
        <v>1</v>
      </c>
      <c r="H137" s="232">
        <f>SUM(E137:G137)</f>
        <v>9</v>
      </c>
      <c r="I137" s="22"/>
      <c r="J137" s="22"/>
      <c r="K137" s="137"/>
      <c r="L137" s="213"/>
      <c r="M137" s="214"/>
      <c r="N137" s="229"/>
      <c r="O137" s="216"/>
      <c r="P137" s="216"/>
      <c r="Q137" s="216"/>
      <c r="R137" s="216"/>
    </row>
    <row r="138" spans="1:18">
      <c r="A138" s="683" t="s">
        <v>240</v>
      </c>
      <c r="B138" s="683"/>
      <c r="C138" s="683"/>
      <c r="D138" s="683"/>
      <c r="E138" s="619">
        <v>4</v>
      </c>
      <c r="F138" s="619">
        <v>4</v>
      </c>
      <c r="G138" s="619">
        <v>1</v>
      </c>
      <c r="H138" s="232">
        <f>SUM(E138:G138)</f>
        <v>9</v>
      </c>
      <c r="I138" s="22"/>
      <c r="J138" s="22"/>
      <c r="K138" s="137"/>
      <c r="L138" s="213"/>
      <c r="M138" s="214"/>
      <c r="N138" s="229"/>
      <c r="O138" s="216"/>
      <c r="P138" s="216"/>
      <c r="Q138" s="216"/>
      <c r="R138" s="216"/>
    </row>
    <row r="139" spans="1:18">
      <c r="A139" s="683" t="s">
        <v>241</v>
      </c>
      <c r="B139" s="683"/>
      <c r="C139" s="683"/>
      <c r="D139" s="683"/>
      <c r="E139" s="619">
        <v>8</v>
      </c>
      <c r="F139" s="619">
        <v>8</v>
      </c>
      <c r="G139" s="619">
        <v>2</v>
      </c>
      <c r="H139" s="232">
        <f>SUM(E139:G139)</f>
        <v>18</v>
      </c>
      <c r="I139" s="22"/>
      <c r="J139" s="22"/>
      <c r="K139" s="213"/>
      <c r="L139" s="213"/>
      <c r="M139" s="214"/>
      <c r="N139" s="215"/>
      <c r="O139" s="193"/>
    </row>
    <row r="140" spans="1:18">
      <c r="A140" s="662" t="s">
        <v>242</v>
      </c>
      <c r="B140" s="662"/>
      <c r="C140" s="662"/>
      <c r="D140" s="662"/>
      <c r="E140" s="619">
        <v>1</v>
      </c>
      <c r="F140" s="619">
        <v>1</v>
      </c>
      <c r="G140" s="619">
        <v>0</v>
      </c>
      <c r="H140" s="232">
        <f>SUM(E140:G140)</f>
        <v>2</v>
      </c>
      <c r="I140" s="22"/>
      <c r="J140" s="22"/>
      <c r="K140" s="213"/>
      <c r="L140" s="213"/>
      <c r="M140" s="214"/>
      <c r="N140" s="215"/>
      <c r="O140" s="193"/>
    </row>
    <row r="141" spans="1:18">
      <c r="A141" s="127" t="s">
        <v>243</v>
      </c>
      <c r="B141" s="82"/>
      <c r="C141" s="82"/>
      <c r="D141" s="82"/>
      <c r="E141" s="81"/>
      <c r="F141" s="81"/>
      <c r="G141" s="81"/>
      <c r="H141" s="81"/>
      <c r="I141" s="22"/>
      <c r="J141" s="22"/>
      <c r="K141" s="213"/>
      <c r="L141" s="213"/>
      <c r="M141" s="213"/>
      <c r="N141" s="213"/>
      <c r="O141" s="193"/>
    </row>
    <row r="142" spans="1:18">
      <c r="A142" s="127"/>
      <c r="B142" s="82"/>
      <c r="C142" s="82"/>
      <c r="D142" s="82"/>
      <c r="E142" s="81"/>
      <c r="F142" s="81"/>
      <c r="G142" s="81"/>
      <c r="H142" s="81"/>
      <c r="I142" s="22"/>
      <c r="J142" s="22"/>
      <c r="K142" s="213"/>
      <c r="L142" s="213"/>
      <c r="M142" s="213"/>
      <c r="N142" s="213"/>
      <c r="O142" s="193"/>
    </row>
    <row r="143" spans="1:18">
      <c r="A143" s="226" t="s">
        <v>244</v>
      </c>
      <c r="B143" s="227"/>
      <c r="C143" s="227"/>
      <c r="D143" s="227"/>
      <c r="E143" s="227"/>
      <c r="F143" s="21"/>
      <c r="G143" s="21"/>
      <c r="H143" s="21"/>
      <c r="I143" s="22"/>
      <c r="J143" s="22"/>
      <c r="K143" s="213"/>
      <c r="L143" s="213"/>
      <c r="M143" s="215"/>
      <c r="N143" s="223"/>
      <c r="O143" s="193"/>
    </row>
    <row r="144" spans="1:18">
      <c r="A144" s="21"/>
      <c r="B144" s="21"/>
      <c r="C144" s="21"/>
      <c r="D144" s="21"/>
      <c r="E144" s="230" t="s">
        <v>245</v>
      </c>
      <c r="F144" s="45" t="s">
        <v>237</v>
      </c>
      <c r="G144" s="231" t="s">
        <v>238</v>
      </c>
      <c r="H144" s="21"/>
      <c r="I144" s="22"/>
      <c r="J144" s="22"/>
      <c r="K144" s="233"/>
      <c r="L144" s="233"/>
      <c r="M144" s="233"/>
      <c r="N144" s="233"/>
      <c r="O144" s="193"/>
    </row>
    <row r="145" spans="1:15">
      <c r="A145" s="728" t="s">
        <v>246</v>
      </c>
      <c r="B145" s="728"/>
      <c r="C145" s="728"/>
      <c r="D145" s="728"/>
      <c r="E145" s="620">
        <v>1</v>
      </c>
      <c r="F145" s="619">
        <v>0</v>
      </c>
      <c r="G145" s="232">
        <f>E145+F145</f>
        <v>1</v>
      </c>
      <c r="H145" s="21"/>
      <c r="I145" s="22"/>
      <c r="J145" s="22"/>
      <c r="K145" s="233"/>
      <c r="L145" s="233"/>
      <c r="M145" s="233"/>
      <c r="N145" s="233"/>
      <c r="O145" s="193"/>
    </row>
    <row r="146" spans="1:15">
      <c r="A146" s="728" t="s">
        <v>240</v>
      </c>
      <c r="B146" s="728"/>
      <c r="C146" s="728"/>
      <c r="D146" s="728"/>
      <c r="E146" s="620">
        <v>1</v>
      </c>
      <c r="F146" s="619">
        <v>0</v>
      </c>
      <c r="G146" s="232">
        <f>E146+F146</f>
        <v>1</v>
      </c>
      <c r="H146" s="21"/>
      <c r="I146" s="22"/>
      <c r="J146" s="22"/>
      <c r="K146" s="213"/>
      <c r="L146" s="213"/>
      <c r="M146" s="213"/>
      <c r="N146" s="234"/>
      <c r="O146" s="193"/>
    </row>
    <row r="147" spans="1:15">
      <c r="A147" s="662" t="s">
        <v>247</v>
      </c>
      <c r="B147" s="662"/>
      <c r="C147" s="662"/>
      <c r="D147" s="662"/>
      <c r="E147" s="620">
        <v>1</v>
      </c>
      <c r="F147" s="619">
        <v>0</v>
      </c>
      <c r="G147" s="232">
        <f>E147+F147</f>
        <v>1</v>
      </c>
      <c r="H147" s="21"/>
      <c r="I147" s="22"/>
      <c r="J147" s="22"/>
      <c r="K147" s="213"/>
      <c r="L147" s="213"/>
      <c r="M147" s="213"/>
      <c r="N147" s="185"/>
      <c r="O147" s="193"/>
    </row>
    <row r="148" spans="1:15">
      <c r="B148" s="126"/>
      <c r="C148" s="126"/>
      <c r="D148" s="126"/>
      <c r="E148" s="235"/>
      <c r="F148" s="84"/>
      <c r="G148" s="235"/>
      <c r="H148" s="156"/>
      <c r="I148" s="22"/>
      <c r="J148" s="22"/>
      <c r="K148" s="213"/>
      <c r="L148" s="213"/>
      <c r="M148" s="213"/>
      <c r="N148" s="185"/>
      <c r="O148" s="193"/>
    </row>
    <row r="149" spans="1:15">
      <c r="A149" s="689" t="s">
        <v>248</v>
      </c>
      <c r="B149" s="689"/>
      <c r="C149" s="689"/>
      <c r="D149" s="689"/>
      <c r="E149" s="689"/>
      <c r="F149" s="689"/>
      <c r="G149" s="689"/>
      <c r="H149" s="689"/>
      <c r="I149" s="22"/>
      <c r="J149" s="22"/>
      <c r="K149" s="213"/>
      <c r="L149" s="213"/>
      <c r="M149" s="213"/>
      <c r="N149" s="213"/>
      <c r="O149" s="193"/>
    </row>
    <row r="150" spans="1:15">
      <c r="A150" s="21"/>
      <c r="B150" s="21"/>
      <c r="C150" s="21"/>
      <c r="D150" s="21"/>
      <c r="E150" s="21"/>
      <c r="F150" s="21"/>
      <c r="G150" s="21"/>
      <c r="H150" s="21"/>
      <c r="I150" s="22"/>
      <c r="J150" s="22"/>
      <c r="K150" s="213"/>
      <c r="L150" s="213"/>
      <c r="M150" s="215"/>
      <c r="N150" s="223"/>
      <c r="O150" s="193"/>
    </row>
    <row r="151" spans="1:15">
      <c r="A151" s="729" t="s">
        <v>249</v>
      </c>
      <c r="B151" s="729"/>
      <c r="C151" s="729"/>
      <c r="D151" s="730" t="s">
        <v>250</v>
      </c>
      <c r="E151" s="730"/>
      <c r="F151" s="236" t="s">
        <v>251</v>
      </c>
      <c r="G151" s="730" t="s">
        <v>238</v>
      </c>
      <c r="H151" s="130"/>
      <c r="I151" s="237"/>
      <c r="J151" s="22"/>
      <c r="K151" s="213"/>
      <c r="L151" s="213"/>
      <c r="M151" s="213"/>
      <c r="N151" s="234"/>
      <c r="O151" s="193"/>
    </row>
    <row r="152" spans="1:15">
      <c r="A152" s="729"/>
      <c r="B152" s="729"/>
      <c r="C152" s="729"/>
      <c r="D152" s="238" t="s">
        <v>252</v>
      </c>
      <c r="E152" s="238" t="s">
        <v>253</v>
      </c>
      <c r="F152" s="239" t="s">
        <v>253</v>
      </c>
      <c r="G152" s="730"/>
      <c r="H152" s="113"/>
      <c r="I152" s="237"/>
      <c r="J152" s="22"/>
      <c r="K152" s="213"/>
      <c r="L152" s="213"/>
      <c r="M152" s="213"/>
      <c r="N152" s="185"/>
      <c r="O152" s="193"/>
    </row>
    <row r="153" spans="1:15" ht="15" customHeight="1">
      <c r="A153" s="681" t="s">
        <v>254</v>
      </c>
      <c r="B153" s="681"/>
      <c r="C153" s="681"/>
      <c r="D153" s="151">
        <f>E153/E170</f>
        <v>5386.155264</v>
      </c>
      <c r="E153" s="240">
        <f>D192</f>
        <v>21544.621056</v>
      </c>
      <c r="F153" s="241">
        <v>0</v>
      </c>
      <c r="G153" s="241">
        <f t="shared" ref="G153:G161" si="4">E153+F153</f>
        <v>21544.621056</v>
      </c>
      <c r="H153" s="242"/>
      <c r="I153" s="237"/>
      <c r="J153" s="22"/>
      <c r="K153" s="213"/>
      <c r="L153" s="213"/>
      <c r="M153" s="213"/>
      <c r="N153" s="185"/>
      <c r="O153" s="193"/>
    </row>
    <row r="154" spans="1:15" ht="15" customHeight="1">
      <c r="A154" s="681" t="s">
        <v>255</v>
      </c>
      <c r="B154" s="681"/>
      <c r="C154" s="681"/>
      <c r="D154" s="151">
        <f>E154/E170</f>
        <v>3112.8850000000002</v>
      </c>
      <c r="E154" s="240">
        <f>E200</f>
        <v>12451.54</v>
      </c>
      <c r="F154" s="241">
        <v>0</v>
      </c>
      <c r="G154" s="241">
        <f t="shared" si="4"/>
        <v>12451.54</v>
      </c>
      <c r="H154" s="242"/>
      <c r="I154" s="237"/>
      <c r="J154" s="22"/>
      <c r="K154" s="213"/>
      <c r="L154" s="213"/>
      <c r="M154" s="213"/>
      <c r="N154" s="214"/>
      <c r="O154" s="193"/>
    </row>
    <row r="155" spans="1:15">
      <c r="A155" s="725" t="s">
        <v>256</v>
      </c>
      <c r="B155" s="725"/>
      <c r="C155" s="725"/>
      <c r="D155" s="151">
        <f>E155/E170</f>
        <v>681.33319476923077</v>
      </c>
      <c r="E155" s="240">
        <f>E215</f>
        <v>2725.3327790769231</v>
      </c>
      <c r="F155" s="241">
        <v>0</v>
      </c>
      <c r="G155" s="241">
        <f t="shared" si="4"/>
        <v>2725.3327790769231</v>
      </c>
      <c r="H155" s="242"/>
      <c r="I155" s="22"/>
      <c r="J155" s="22"/>
      <c r="K155" s="213"/>
      <c r="L155" s="213"/>
      <c r="M155" s="213"/>
      <c r="N155" s="243"/>
      <c r="O155" s="193"/>
    </row>
    <row r="156" spans="1:15">
      <c r="A156" s="725" t="s">
        <v>257</v>
      </c>
      <c r="B156" s="725"/>
      <c r="C156" s="725"/>
      <c r="D156" s="151">
        <f>E156/E170</f>
        <v>387.32369682815556</v>
      </c>
      <c r="E156" s="240">
        <f>E217</f>
        <v>1549.2947873126222</v>
      </c>
      <c r="F156" s="241">
        <v>0</v>
      </c>
      <c r="G156" s="241">
        <f t="shared" si="4"/>
        <v>1549.2947873126222</v>
      </c>
      <c r="H156" s="242"/>
      <c r="I156" s="22"/>
      <c r="J156" s="22"/>
      <c r="K156" s="234"/>
      <c r="L156" s="234"/>
      <c r="M156" s="234"/>
      <c r="N156" s="234"/>
      <c r="O156" s="193"/>
    </row>
    <row r="157" spans="1:15">
      <c r="A157" s="725" t="s">
        <v>258</v>
      </c>
      <c r="B157" s="725"/>
      <c r="C157" s="725"/>
      <c r="D157" s="151">
        <f>E157/E170</f>
        <v>545.24</v>
      </c>
      <c r="E157" s="240">
        <f>E265</f>
        <v>2180.96</v>
      </c>
      <c r="F157" s="241">
        <v>0</v>
      </c>
      <c r="G157" s="241">
        <f t="shared" si="4"/>
        <v>2180.96</v>
      </c>
      <c r="H157" s="242"/>
      <c r="I157" s="22"/>
      <c r="J157" s="22"/>
      <c r="K157" s="234"/>
      <c r="L157" s="234"/>
      <c r="M157" s="234"/>
      <c r="N157" s="234"/>
      <c r="O157" s="193"/>
    </row>
    <row r="158" spans="1:15">
      <c r="A158" s="725" t="s">
        <v>259</v>
      </c>
      <c r="B158" s="725"/>
      <c r="C158" s="725"/>
      <c r="D158" s="151">
        <f>E158/E170</f>
        <v>1286.5289583333335</v>
      </c>
      <c r="E158" s="244">
        <f>E276</f>
        <v>5146.1158333333342</v>
      </c>
      <c r="F158" s="245">
        <f>F276</f>
        <v>1060.2750000000003</v>
      </c>
      <c r="G158" s="241">
        <f t="shared" si="4"/>
        <v>6206.3908333333347</v>
      </c>
      <c r="H158" s="246"/>
      <c r="I158" s="22"/>
      <c r="J158" s="141"/>
      <c r="K158" s="157"/>
      <c r="L158" s="132"/>
      <c r="M158" s="132"/>
      <c r="N158" s="132"/>
    </row>
    <row r="159" spans="1:15">
      <c r="A159" s="725" t="s">
        <v>260</v>
      </c>
      <c r="B159" s="725"/>
      <c r="C159" s="725"/>
      <c r="D159" s="151">
        <f>E159/E170</f>
        <v>6813.27</v>
      </c>
      <c r="E159" s="244">
        <f>E278</f>
        <v>27253.08</v>
      </c>
      <c r="F159" s="245">
        <v>0</v>
      </c>
      <c r="G159" s="241">
        <f t="shared" si="4"/>
        <v>27253.08</v>
      </c>
      <c r="H159" s="246"/>
      <c r="I159" s="22"/>
      <c r="J159" s="141"/>
      <c r="K159" s="163"/>
      <c r="L159" s="163"/>
      <c r="M159" s="163"/>
      <c r="N159" s="163"/>
    </row>
    <row r="160" spans="1:15">
      <c r="A160" s="725" t="s">
        <v>261</v>
      </c>
      <c r="B160" s="725"/>
      <c r="C160" s="725"/>
      <c r="D160" s="592">
        <f>E316</f>
        <v>373.60852002001991</v>
      </c>
      <c r="E160" s="244">
        <f>E317</f>
        <v>1494.4340800800796</v>
      </c>
      <c r="F160" s="245">
        <v>0</v>
      </c>
      <c r="G160" s="593">
        <f t="shared" si="4"/>
        <v>1494.4340800800796</v>
      </c>
      <c r="H160" s="246"/>
      <c r="I160" s="22"/>
      <c r="J160" s="141"/>
      <c r="K160" s="163"/>
      <c r="L160" s="163"/>
      <c r="M160" s="163"/>
      <c r="N160" s="163"/>
    </row>
    <row r="161" spans="1:14" ht="15" customHeight="1">
      <c r="A161" s="725" t="s">
        <v>262</v>
      </c>
      <c r="B161" s="725"/>
      <c r="C161" s="725"/>
      <c r="D161" s="151">
        <f>F323</f>
        <v>75</v>
      </c>
      <c r="E161" s="244">
        <f>F323*E170</f>
        <v>300</v>
      </c>
      <c r="F161" s="245">
        <f>D161</f>
        <v>75</v>
      </c>
      <c r="G161" s="241">
        <f t="shared" si="4"/>
        <v>375</v>
      </c>
      <c r="H161" s="246"/>
      <c r="I161" s="22"/>
      <c r="J161" s="22"/>
      <c r="K161" s="137"/>
      <c r="L161" s="137"/>
      <c r="M161" s="140"/>
      <c r="N161" s="148"/>
    </row>
    <row r="162" spans="1:14" ht="15" customHeight="1">
      <c r="A162" s="689" t="s">
        <v>263</v>
      </c>
      <c r="B162" s="689"/>
      <c r="C162" s="689"/>
      <c r="D162" s="247">
        <f>SUM(D153:D161)</f>
        <v>18661.344633950743</v>
      </c>
      <c r="E162" s="248">
        <f>SUM(E153:E161)</f>
        <v>74645.378535802971</v>
      </c>
      <c r="F162" s="248">
        <f>SUM(F153:F161)</f>
        <v>1135.2750000000003</v>
      </c>
      <c r="G162" s="248">
        <f>SUM(G153:G161)</f>
        <v>75780.653535802965</v>
      </c>
      <c r="H162" s="249"/>
      <c r="I162" s="22"/>
      <c r="J162" s="22"/>
      <c r="K162" s="137"/>
      <c r="L162" s="137"/>
      <c r="M162" s="140"/>
      <c r="N162" s="148"/>
    </row>
    <row r="163" spans="1:14" ht="15" customHeight="1">
      <c r="A163" s="126"/>
      <c r="B163" s="126"/>
      <c r="C163" s="126"/>
      <c r="D163" s="250"/>
      <c r="E163" s="249"/>
      <c r="F163" s="249"/>
      <c r="G163" s="249"/>
      <c r="H163" s="249"/>
      <c r="I163" s="22"/>
      <c r="J163" s="22"/>
      <c r="K163" s="137"/>
      <c r="L163" s="137"/>
      <c r="M163" s="140"/>
      <c r="N163" s="148"/>
    </row>
    <row r="164" spans="1:14">
      <c r="A164" s="731" t="s">
        <v>264</v>
      </c>
      <c r="B164" s="731"/>
      <c r="C164" s="731"/>
      <c r="D164" s="731"/>
      <c r="E164" s="731"/>
      <c r="F164" s="731"/>
      <c r="G164" s="731"/>
      <c r="H164" s="731"/>
      <c r="I164" s="22"/>
      <c r="J164" s="22"/>
      <c r="K164" s="137"/>
      <c r="L164" s="137"/>
      <c r="M164" s="140"/>
      <c r="N164" s="148"/>
    </row>
    <row r="165" spans="1:14">
      <c r="A165" s="251"/>
      <c r="B165" s="251"/>
      <c r="C165" s="251"/>
      <c r="D165" s="251"/>
      <c r="E165" s="251"/>
      <c r="F165" s="251"/>
      <c r="G165" s="251"/>
      <c r="H165" s="251"/>
      <c r="I165" s="22"/>
      <c r="J165" s="22"/>
      <c r="K165" s="137"/>
      <c r="L165" s="137"/>
      <c r="M165" s="140"/>
      <c r="N165" s="148"/>
    </row>
    <row r="166" spans="1:14">
      <c r="A166" s="227" t="s">
        <v>265</v>
      </c>
      <c r="B166" s="21"/>
      <c r="C166" s="21"/>
      <c r="D166" s="21"/>
      <c r="E166" s="21"/>
      <c r="F166" s="21"/>
      <c r="G166" s="21"/>
      <c r="H166" s="21"/>
      <c r="I166" s="22"/>
      <c r="J166" s="22"/>
      <c r="K166" s="137"/>
      <c r="L166" s="137"/>
      <c r="M166" s="140"/>
      <c r="N166" s="148"/>
    </row>
    <row r="167" spans="1:14">
      <c r="A167" s="683" t="s">
        <v>720</v>
      </c>
      <c r="B167" s="683"/>
      <c r="C167" s="683"/>
      <c r="D167" s="683"/>
      <c r="E167" s="621">
        <f>E168+E169</f>
        <v>311288.5</v>
      </c>
      <c r="F167" s="21"/>
      <c r="G167" s="21"/>
      <c r="H167" s="21"/>
      <c r="I167" s="22"/>
      <c r="J167" s="22"/>
      <c r="K167" s="137"/>
      <c r="L167" s="137"/>
      <c r="M167" s="140"/>
      <c r="N167" s="148"/>
    </row>
    <row r="168" spans="1:14">
      <c r="A168" s="732" t="s">
        <v>266</v>
      </c>
      <c r="B168" s="732"/>
      <c r="C168" s="732"/>
      <c r="D168" s="732"/>
      <c r="E168" s="253">
        <v>117500</v>
      </c>
      <c r="F168" s="21"/>
      <c r="G168" s="21"/>
      <c r="H168" s="21"/>
      <c r="I168" s="22"/>
      <c r="J168" s="22"/>
      <c r="K168" s="137"/>
      <c r="L168" s="137"/>
      <c r="M168" s="154"/>
      <c r="N168" s="148"/>
    </row>
    <row r="169" spans="1:14">
      <c r="A169" s="733" t="s">
        <v>267</v>
      </c>
      <c r="B169" s="733"/>
      <c r="C169" s="733"/>
      <c r="D169" s="733"/>
      <c r="E169" s="241">
        <f>(182014+205563)/2</f>
        <v>193788.5</v>
      </c>
      <c r="F169" s="21"/>
      <c r="G169" s="21"/>
      <c r="H169" s="21"/>
      <c r="I169" s="22"/>
      <c r="J169" s="22"/>
      <c r="K169" s="137"/>
      <c r="L169" s="137"/>
      <c r="M169" s="154"/>
      <c r="N169" s="148"/>
    </row>
    <row r="170" spans="1:14">
      <c r="A170" s="679" t="s">
        <v>268</v>
      </c>
      <c r="B170" s="679"/>
      <c r="C170" s="679"/>
      <c r="D170" s="679"/>
      <c r="E170" s="254">
        <v>4</v>
      </c>
      <c r="F170" s="21"/>
      <c r="G170" s="21"/>
      <c r="H170" s="255"/>
      <c r="I170" s="22"/>
      <c r="J170" s="175"/>
      <c r="K170" s="137"/>
      <c r="L170" s="137"/>
      <c r="M170" s="140"/>
      <c r="N170" s="148"/>
    </row>
    <row r="171" spans="1:14">
      <c r="A171" s="679" t="s">
        <v>269</v>
      </c>
      <c r="B171" s="679"/>
      <c r="C171" s="679"/>
      <c r="D171" s="679"/>
      <c r="E171" s="88">
        <v>1</v>
      </c>
      <c r="F171" s="21"/>
      <c r="G171" s="21"/>
      <c r="H171" s="21"/>
      <c r="I171" s="22"/>
      <c r="J171" s="22"/>
      <c r="K171" s="137"/>
      <c r="L171" s="137"/>
      <c r="M171" s="140"/>
      <c r="N171" s="148"/>
    </row>
    <row r="172" spans="1:14">
      <c r="A172" s="679" t="s">
        <v>224</v>
      </c>
      <c r="B172" s="679"/>
      <c r="C172" s="679"/>
      <c r="D172" s="679"/>
      <c r="E172" s="256">
        <f>E127</f>
        <v>11811.743999999999</v>
      </c>
      <c r="F172" s="21"/>
      <c r="G172" s="21"/>
      <c r="H172" s="21"/>
      <c r="I172" s="22"/>
      <c r="J172" s="22"/>
      <c r="K172" s="137"/>
      <c r="L172" s="137"/>
      <c r="M172" s="140"/>
      <c r="N172" s="148"/>
    </row>
    <row r="173" spans="1:14">
      <c r="A173" s="156" t="s">
        <v>724</v>
      </c>
      <c r="B173" s="93"/>
      <c r="C173" s="93"/>
      <c r="D173" s="93"/>
      <c r="E173" s="257"/>
      <c r="F173" s="21"/>
      <c r="G173" s="21"/>
      <c r="H173" s="21"/>
      <c r="I173" s="22"/>
      <c r="J173" s="22"/>
      <c r="K173" s="137"/>
      <c r="L173" s="137"/>
      <c r="M173" s="140"/>
      <c r="N173" s="148"/>
    </row>
    <row r="174" spans="1:14">
      <c r="A174" s="156" t="s">
        <v>722</v>
      </c>
      <c r="B174" s="93"/>
      <c r="C174" s="93"/>
      <c r="D174" s="93"/>
      <c r="E174" s="257"/>
      <c r="F174" s="21"/>
      <c r="G174" s="21"/>
      <c r="H174" s="21"/>
      <c r="I174" s="22"/>
      <c r="J174" s="22"/>
      <c r="K174" s="137"/>
      <c r="L174" s="137"/>
      <c r="M174" s="140"/>
      <c r="N174" s="148"/>
    </row>
    <row r="175" spans="1:14" s="193" customFormat="1">
      <c r="A175" s="156" t="s">
        <v>725</v>
      </c>
      <c r="B175" s="115"/>
      <c r="C175" s="115"/>
      <c r="D175" s="115"/>
      <c r="E175" s="257"/>
      <c r="F175" s="156"/>
      <c r="G175" s="156"/>
      <c r="H175" s="156"/>
      <c r="I175" s="320"/>
      <c r="J175" s="320"/>
      <c r="K175" s="581"/>
      <c r="L175" s="581"/>
      <c r="M175" s="185"/>
      <c r="N175" s="229"/>
    </row>
    <row r="176" spans="1:14">
      <c r="A176" s="21"/>
      <c r="B176" s="93"/>
      <c r="C176" s="93"/>
      <c r="D176" s="93"/>
      <c r="E176" s="257"/>
      <c r="F176" s="21"/>
      <c r="G176" s="21"/>
      <c r="H176" s="21"/>
      <c r="I176" s="22"/>
      <c r="J176" s="22"/>
      <c r="K176" s="137"/>
      <c r="L176" s="137"/>
      <c r="M176" s="140"/>
      <c r="N176" s="148"/>
    </row>
    <row r="177" spans="1:14">
      <c r="A177" s="258" t="s">
        <v>270</v>
      </c>
      <c r="B177" s="259"/>
      <c r="C177" s="259"/>
      <c r="D177" s="259"/>
      <c r="E177" s="259"/>
      <c r="F177" s="260"/>
      <c r="G177" s="21"/>
      <c r="H177" s="21"/>
      <c r="I177" s="22"/>
      <c r="J177" s="22"/>
      <c r="K177" s="137"/>
      <c r="L177" s="137"/>
      <c r="M177" s="140"/>
      <c r="N177" s="148"/>
    </row>
    <row r="178" spans="1:14">
      <c r="A178" s="683" t="s">
        <v>271</v>
      </c>
      <c r="B178" s="683"/>
      <c r="C178" s="683"/>
      <c r="D178" s="683"/>
      <c r="E178" s="621">
        <f>E179+E180</f>
        <v>261924</v>
      </c>
      <c r="F178" s="260"/>
      <c r="G178" s="21"/>
      <c r="H178" s="21"/>
      <c r="I178" s="22"/>
      <c r="J178" s="22"/>
      <c r="K178" s="137"/>
      <c r="L178" s="137"/>
      <c r="M178" s="140"/>
      <c r="N178" s="148"/>
    </row>
    <row r="179" spans="1:14">
      <c r="A179" s="732" t="s">
        <v>266</v>
      </c>
      <c r="B179" s="732"/>
      <c r="C179" s="732"/>
      <c r="D179" s="732"/>
      <c r="E179" s="253">
        <f>E168</f>
        <v>117500</v>
      </c>
      <c r="F179" s="260"/>
      <c r="G179" s="21"/>
      <c r="H179" s="21"/>
      <c r="I179" s="22"/>
      <c r="J179" s="22"/>
      <c r="K179" s="137"/>
      <c r="L179" s="137"/>
      <c r="M179" s="140"/>
      <c r="N179" s="148"/>
    </row>
    <row r="180" spans="1:14">
      <c r="A180" s="733" t="s">
        <v>267</v>
      </c>
      <c r="B180" s="733"/>
      <c r="C180" s="733"/>
      <c r="D180" s="733"/>
      <c r="E180" s="241">
        <f>(139752+149096)/2</f>
        <v>144424</v>
      </c>
      <c r="F180" s="21"/>
      <c r="G180" s="21"/>
      <c r="H180" s="21"/>
      <c r="I180" s="22"/>
      <c r="J180" s="22"/>
      <c r="K180" s="137"/>
      <c r="L180" s="137"/>
      <c r="M180" s="140"/>
      <c r="N180" s="148"/>
    </row>
    <row r="181" spans="1:14">
      <c r="A181" s="679" t="s">
        <v>268</v>
      </c>
      <c r="B181" s="679"/>
      <c r="C181" s="679"/>
      <c r="D181" s="679"/>
      <c r="E181" s="254">
        <v>1</v>
      </c>
      <c r="F181" s="21"/>
      <c r="G181" s="261"/>
      <c r="H181" s="21"/>
      <c r="I181" s="22"/>
      <c r="J181" s="22"/>
      <c r="K181" s="137"/>
      <c r="L181" s="137"/>
      <c r="M181" s="140"/>
      <c r="N181" s="148"/>
    </row>
    <row r="182" spans="1:14">
      <c r="A182" s="156" t="s">
        <v>723</v>
      </c>
      <c r="B182" s="93"/>
      <c r="C182" s="93"/>
      <c r="D182" s="93"/>
      <c r="E182" s="262"/>
      <c r="F182" s="21"/>
      <c r="G182" s="263"/>
      <c r="H182" s="21"/>
      <c r="I182" s="22"/>
      <c r="J182" s="22"/>
      <c r="K182" s="137"/>
      <c r="L182" s="137"/>
      <c r="M182" s="140"/>
      <c r="N182" s="148"/>
    </row>
    <row r="183" spans="1:14">
      <c r="A183" s="156" t="s">
        <v>721</v>
      </c>
      <c r="B183" s="93"/>
      <c r="C183" s="93"/>
      <c r="D183" s="93"/>
      <c r="E183" s="262"/>
      <c r="F183" s="21"/>
      <c r="G183" s="263"/>
      <c r="H183" s="21"/>
      <c r="I183" s="22"/>
      <c r="J183" s="22"/>
      <c r="K183" s="137"/>
      <c r="L183" s="137"/>
      <c r="M183" s="140"/>
      <c r="N183" s="148"/>
    </row>
    <row r="184" spans="1:14" s="193" customFormat="1">
      <c r="A184" s="156" t="s">
        <v>726</v>
      </c>
      <c r="B184" s="115"/>
      <c r="C184" s="115"/>
      <c r="D184" s="115"/>
      <c r="E184" s="262"/>
      <c r="F184" s="156"/>
      <c r="G184" s="263"/>
      <c r="H184" s="156"/>
      <c r="I184" s="320"/>
      <c r="J184" s="320"/>
      <c r="K184" s="581"/>
      <c r="L184" s="581"/>
      <c r="M184" s="185"/>
      <c r="N184" s="229"/>
    </row>
    <row r="185" spans="1:14" s="193" customFormat="1">
      <c r="A185" s="156"/>
      <c r="B185" s="115"/>
      <c r="C185" s="115"/>
      <c r="D185" s="115"/>
      <c r="E185" s="262"/>
      <c r="F185" s="156"/>
      <c r="G185" s="263"/>
      <c r="H185" s="156"/>
      <c r="I185" s="320"/>
      <c r="J185" s="320"/>
      <c r="K185" s="581"/>
      <c r="L185" s="581"/>
      <c r="M185" s="185"/>
      <c r="N185" s="229"/>
    </row>
    <row r="186" spans="1:14">
      <c r="A186" s="1" t="s">
        <v>272</v>
      </c>
      <c r="B186" s="21"/>
      <c r="C186" s="21"/>
      <c r="D186" s="21"/>
      <c r="E186" s="734">
        <f>D192</f>
        <v>21544.621056</v>
      </c>
      <c r="F186" s="734"/>
      <c r="G186" s="21"/>
      <c r="H186" s="21"/>
      <c r="I186" s="22"/>
      <c r="J186" s="22"/>
      <c r="K186" s="137"/>
      <c r="L186" s="137"/>
      <c r="M186" s="140"/>
      <c r="N186" s="148"/>
    </row>
    <row r="187" spans="1:14">
      <c r="A187" s="156" t="s">
        <v>727</v>
      </c>
      <c r="B187" s="21"/>
      <c r="C187" s="21"/>
      <c r="D187" s="21"/>
      <c r="E187" s="21"/>
      <c r="F187" s="21"/>
      <c r="G187" s="21"/>
      <c r="H187" s="21"/>
    </row>
    <row r="188" spans="1:14">
      <c r="A188" s="156" t="s">
        <v>728</v>
      </c>
      <c r="B188" s="21"/>
      <c r="C188" s="21"/>
      <c r="D188" s="21"/>
      <c r="E188" s="21"/>
      <c r="F188" s="21"/>
      <c r="G188" s="21"/>
      <c r="H188" s="21"/>
      <c r="I188" s="22"/>
      <c r="J188" s="22"/>
      <c r="K188" s="137"/>
      <c r="L188" s="137"/>
      <c r="M188" s="140"/>
      <c r="N188" s="148"/>
    </row>
    <row r="189" spans="1:14">
      <c r="A189" s="679" t="s">
        <v>273</v>
      </c>
      <c r="B189" s="679"/>
      <c r="C189" s="679"/>
      <c r="D189" s="622">
        <v>3.6480000000000001</v>
      </c>
      <c r="E189" s="21"/>
      <c r="F189" s="21"/>
      <c r="G189" s="21"/>
      <c r="H189" s="21"/>
      <c r="I189" s="22"/>
      <c r="J189" s="22"/>
      <c r="K189" s="157"/>
      <c r="L189" s="157"/>
      <c r="M189" s="140"/>
      <c r="N189" s="158"/>
    </row>
    <row r="190" spans="1:14">
      <c r="A190" s="679" t="s">
        <v>274</v>
      </c>
      <c r="B190" s="679"/>
      <c r="C190" s="679"/>
      <c r="D190" s="623">
        <v>2</v>
      </c>
      <c r="E190" s="21"/>
      <c r="F190" s="21"/>
      <c r="G190" s="21"/>
      <c r="H190" s="21"/>
      <c r="I190" s="22"/>
      <c r="J190" s="22"/>
      <c r="K190" s="137"/>
      <c r="L190" s="132"/>
      <c r="M190" s="132"/>
      <c r="N190" s="132"/>
    </row>
    <row r="191" spans="1:14">
      <c r="A191" s="679" t="s">
        <v>275</v>
      </c>
      <c r="B191" s="679"/>
      <c r="C191" s="679"/>
      <c r="D191" s="47">
        <f>E172/D190</f>
        <v>5905.8719999999994</v>
      </c>
      <c r="E191" s="21"/>
      <c r="F191" s="21"/>
      <c r="G191" s="21"/>
      <c r="H191" s="21"/>
      <c r="I191" s="22"/>
      <c r="J191" s="22"/>
      <c r="K191" s="157"/>
      <c r="L191" s="132"/>
      <c r="M191" s="132"/>
      <c r="N191" s="132"/>
    </row>
    <row r="192" spans="1:14">
      <c r="A192" s="662" t="s">
        <v>276</v>
      </c>
      <c r="B192" s="662"/>
      <c r="C192" s="662"/>
      <c r="D192" s="264">
        <f>D191*D189</f>
        <v>21544.621056</v>
      </c>
      <c r="E192" s="21"/>
      <c r="F192" s="21"/>
      <c r="G192" s="21"/>
      <c r="H192" s="21"/>
      <c r="I192" s="22"/>
      <c r="J192" s="22"/>
      <c r="K192" s="138"/>
      <c r="L192" s="138"/>
      <c r="M192" s="138"/>
      <c r="N192" s="138"/>
    </row>
    <row r="193" spans="1:14">
      <c r="A193" s="662" t="s">
        <v>277</v>
      </c>
      <c r="B193" s="662"/>
      <c r="C193" s="662"/>
      <c r="D193" s="264">
        <f>D192/4</f>
        <v>5386.155264</v>
      </c>
      <c r="E193" s="21"/>
      <c r="F193" s="21"/>
      <c r="G193" s="21"/>
      <c r="H193" s="21"/>
      <c r="I193" s="22"/>
      <c r="J193" s="22"/>
      <c r="K193" s="138"/>
      <c r="L193" s="138"/>
      <c r="M193" s="138"/>
      <c r="N193" s="138"/>
    </row>
    <row r="194" spans="1:14" ht="15" customHeight="1">
      <c r="A194" s="21"/>
      <c r="B194" s="21"/>
      <c r="C194" s="21"/>
      <c r="D194" s="21"/>
      <c r="E194" s="21"/>
      <c r="F194" s="21"/>
      <c r="G194" s="21"/>
      <c r="H194" s="21"/>
      <c r="I194" s="22"/>
      <c r="J194" s="22"/>
      <c r="K194" s="162"/>
      <c r="L194" s="162"/>
      <c r="M194" s="163"/>
      <c r="N194" s="163"/>
    </row>
    <row r="195" spans="1:14">
      <c r="A195" s="1" t="s">
        <v>278</v>
      </c>
      <c r="B195" s="21"/>
      <c r="C195" s="21"/>
      <c r="D195" s="21"/>
      <c r="E195" s="734">
        <f>E200</f>
        <v>12451.54</v>
      </c>
      <c r="F195" s="734"/>
      <c r="G195" s="21"/>
      <c r="H195" s="21"/>
      <c r="I195" s="22"/>
      <c r="J195" s="22"/>
      <c r="K195" s="137"/>
      <c r="L195" s="137"/>
      <c r="M195" s="144"/>
      <c r="N195" s="164"/>
    </row>
    <row r="196" spans="1:14">
      <c r="A196" s="21"/>
      <c r="B196" s="21"/>
      <c r="C196" s="21"/>
      <c r="D196" s="21"/>
      <c r="E196" s="21"/>
      <c r="F196" s="21"/>
      <c r="G196" s="21"/>
      <c r="H196" s="21"/>
      <c r="I196" s="22"/>
      <c r="J196" s="22"/>
      <c r="K196" s="137"/>
      <c r="L196" s="137"/>
      <c r="M196" s="144"/>
      <c r="N196" s="164"/>
    </row>
    <row r="197" spans="1:14">
      <c r="A197" s="679" t="s">
        <v>279</v>
      </c>
      <c r="B197" s="679"/>
      <c r="C197" s="679"/>
      <c r="D197" s="679"/>
      <c r="E197" s="265">
        <f>E167</f>
        <v>311288.5</v>
      </c>
      <c r="F197" s="21"/>
      <c r="G197" s="21"/>
      <c r="H197" s="21"/>
      <c r="I197" s="22"/>
      <c r="J197" s="22"/>
      <c r="K197" s="137"/>
      <c r="L197" s="137"/>
      <c r="M197" s="144"/>
      <c r="N197" s="164"/>
    </row>
    <row r="198" spans="1:14" ht="24.95" customHeight="1">
      <c r="A198" s="735" t="s">
        <v>280</v>
      </c>
      <c r="B198" s="735"/>
      <c r="C198" s="735"/>
      <c r="D198" s="735"/>
      <c r="E198" s="266">
        <v>0.01</v>
      </c>
      <c r="F198" s="267"/>
      <c r="G198" s="63"/>
      <c r="H198" s="63"/>
      <c r="I198" s="22"/>
      <c r="J198" s="22"/>
      <c r="K198" s="137"/>
      <c r="L198" s="137"/>
      <c r="M198" s="144"/>
      <c r="N198" s="164"/>
    </row>
    <row r="199" spans="1:14">
      <c r="A199" s="683" t="s">
        <v>281</v>
      </c>
      <c r="B199" s="683"/>
      <c r="C199" s="683"/>
      <c r="D199" s="683"/>
      <c r="E199" s="268">
        <f>E197*E198</f>
        <v>3112.8850000000002</v>
      </c>
      <c r="F199" s="21"/>
      <c r="G199" s="21"/>
      <c r="H199" s="21"/>
      <c r="I199" s="22"/>
      <c r="J199" s="22"/>
      <c r="K199" s="137"/>
      <c r="L199" s="137"/>
      <c r="M199" s="144"/>
      <c r="N199" s="164"/>
    </row>
    <row r="200" spans="1:14">
      <c r="A200" s="662" t="s">
        <v>282</v>
      </c>
      <c r="B200" s="662"/>
      <c r="C200" s="662"/>
      <c r="D200" s="662"/>
      <c r="E200" s="269">
        <f>E199*E170</f>
        <v>12451.54</v>
      </c>
      <c r="F200" s="270"/>
      <c r="G200" s="21"/>
      <c r="H200" s="21"/>
      <c r="I200" s="22"/>
      <c r="J200" s="22"/>
      <c r="K200" s="137"/>
      <c r="L200" s="137"/>
      <c r="M200" s="144"/>
      <c r="N200" s="164"/>
    </row>
    <row r="201" spans="1:14" ht="13.5" customHeight="1">
      <c r="A201" s="186"/>
      <c r="B201" s="186"/>
      <c r="C201" s="186"/>
      <c r="D201" s="186"/>
      <c r="E201" s="186"/>
      <c r="F201" s="186"/>
      <c r="G201" s="186"/>
      <c r="H201" s="186"/>
      <c r="I201" s="22"/>
      <c r="J201" s="22"/>
      <c r="K201" s="137"/>
      <c r="L201" s="137"/>
      <c r="M201" s="144"/>
      <c r="N201" s="164"/>
    </row>
    <row r="202" spans="1:14">
      <c r="A202" s="1" t="s">
        <v>283</v>
      </c>
      <c r="B202" s="21"/>
      <c r="C202" s="21"/>
      <c r="D202" s="21"/>
      <c r="E202" s="734">
        <f>E215</f>
        <v>2725.3327790769231</v>
      </c>
      <c r="F202" s="734"/>
      <c r="G202" s="21"/>
      <c r="H202" s="21"/>
      <c r="I202" s="22"/>
      <c r="J202" s="22"/>
      <c r="K202" s="137"/>
      <c r="L202" s="137"/>
      <c r="M202" s="144"/>
      <c r="N202" s="164"/>
    </row>
    <row r="203" spans="1:14">
      <c r="A203" s="736" t="s">
        <v>284</v>
      </c>
      <c r="B203" s="736"/>
      <c r="C203" s="736"/>
      <c r="D203" s="736"/>
      <c r="E203" s="736"/>
      <c r="F203" s="736"/>
      <c r="G203" s="21"/>
      <c r="H203" s="21"/>
      <c r="I203" s="22"/>
      <c r="J203" s="22"/>
      <c r="K203" s="137"/>
      <c r="L203" s="137"/>
      <c r="M203" s="144"/>
      <c r="N203" s="164"/>
    </row>
    <row r="204" spans="1:14">
      <c r="A204" s="736" t="s">
        <v>285</v>
      </c>
      <c r="B204" s="736"/>
      <c r="C204" s="624">
        <v>1800</v>
      </c>
      <c r="D204" s="21"/>
      <c r="E204" s="21">
        <f>(1763.77+1622.64+1585.55)/3</f>
        <v>1657.32</v>
      </c>
      <c r="F204" s="21">
        <f>3600/2</f>
        <v>1800</v>
      </c>
      <c r="G204" s="21"/>
      <c r="H204" s="21"/>
      <c r="I204" s="22"/>
      <c r="J204" s="22"/>
      <c r="K204" s="137"/>
      <c r="L204" s="157"/>
      <c r="M204" s="165"/>
      <c r="N204" s="166"/>
    </row>
    <row r="205" spans="1:14">
      <c r="A205" s="736" t="s">
        <v>286</v>
      </c>
      <c r="B205" s="736"/>
      <c r="C205" s="736"/>
      <c r="D205" s="736"/>
      <c r="E205" s="736"/>
      <c r="F205" s="736"/>
      <c r="G205" s="21"/>
      <c r="H205" s="21"/>
      <c r="I205" s="175"/>
      <c r="J205" s="22"/>
      <c r="K205" s="138"/>
      <c r="L205" s="138"/>
      <c r="M205" s="138"/>
      <c r="N205" s="138"/>
    </row>
    <row r="206" spans="1:14">
      <c r="A206" s="736" t="s">
        <v>287</v>
      </c>
      <c r="B206" s="736"/>
      <c r="C206" s="591">
        <v>2</v>
      </c>
      <c r="D206" s="272"/>
      <c r="E206" s="272"/>
      <c r="F206" s="272"/>
      <c r="G206" s="272"/>
      <c r="H206" s="21"/>
      <c r="I206" s="175"/>
      <c r="J206" s="22"/>
      <c r="K206" s="138"/>
      <c r="L206" s="138"/>
      <c r="M206" s="138"/>
      <c r="N206" s="138"/>
    </row>
    <row r="207" spans="1:14">
      <c r="A207" s="736" t="s">
        <v>288</v>
      </c>
      <c r="B207" s="736"/>
      <c r="C207" s="591">
        <v>6</v>
      </c>
      <c r="D207" s="272"/>
      <c r="E207" s="272"/>
      <c r="F207" s="272"/>
      <c r="G207" s="272"/>
      <c r="H207" s="173"/>
      <c r="I207" s="22"/>
      <c r="J207" s="22"/>
      <c r="K207" s="138"/>
      <c r="L207" s="138"/>
      <c r="M207" s="138"/>
      <c r="N207" s="138"/>
    </row>
    <row r="208" spans="1:14" ht="15" customHeight="1">
      <c r="A208" s="186" t="s">
        <v>289</v>
      </c>
      <c r="B208" s="186"/>
      <c r="C208" s="186"/>
      <c r="D208" s="186"/>
      <c r="E208" s="186"/>
      <c r="F208" s="186"/>
      <c r="G208" s="21"/>
      <c r="H208" s="21"/>
      <c r="I208" s="22"/>
      <c r="J208" s="22"/>
      <c r="K208" s="162"/>
      <c r="L208" s="162"/>
      <c r="M208" s="163"/>
      <c r="N208" s="163"/>
    </row>
    <row r="209" spans="1:14" ht="15" customHeight="1">
      <c r="A209" s="736" t="s">
        <v>290</v>
      </c>
      <c r="B209" s="736"/>
      <c r="C209" s="625">
        <v>599</v>
      </c>
      <c r="D209" s="273"/>
      <c r="E209" s="274"/>
      <c r="F209" s="273"/>
      <c r="G209" s="192"/>
      <c r="H209" s="21"/>
      <c r="I209" s="22"/>
      <c r="J209" s="22"/>
      <c r="K209" s="162"/>
      <c r="L209" s="162"/>
      <c r="M209" s="163"/>
      <c r="N209" s="163"/>
    </row>
    <row r="210" spans="1:14">
      <c r="A210" s="275" t="s">
        <v>291</v>
      </c>
      <c r="B210" s="275"/>
      <c r="C210" s="275"/>
      <c r="D210" s="275"/>
      <c r="E210" s="275"/>
      <c r="F210" s="275"/>
      <c r="G210" s="271"/>
      <c r="H210" s="21"/>
      <c r="I210" s="22"/>
      <c r="J210" s="22"/>
      <c r="K210" s="137"/>
      <c r="L210" s="137"/>
      <c r="M210" s="144"/>
      <c r="N210" s="164"/>
    </row>
    <row r="211" spans="1:14">
      <c r="A211" s="736" t="s">
        <v>292</v>
      </c>
      <c r="B211" s="736"/>
      <c r="C211" s="736"/>
      <c r="D211" s="736"/>
      <c r="E211" s="736"/>
      <c r="F211" s="736"/>
      <c r="G211" s="192"/>
      <c r="H211" s="21"/>
      <c r="I211" s="22"/>
      <c r="J211" s="22"/>
      <c r="K211" s="137"/>
      <c r="L211" s="137"/>
      <c r="M211" s="144"/>
      <c r="N211" s="164"/>
    </row>
    <row r="212" spans="1:14">
      <c r="A212" s="736" t="s">
        <v>729</v>
      </c>
      <c r="B212" s="736"/>
      <c r="C212" s="736"/>
      <c r="D212" s="276">
        <f>(6*C204+2*C209)/(20000+2*16000)</f>
        <v>0.23073076923076924</v>
      </c>
      <c r="E212" s="21"/>
      <c r="F212" s="94"/>
      <c r="G212" s="192"/>
      <c r="H212" s="21"/>
      <c r="I212" s="22"/>
      <c r="J212" s="22"/>
      <c r="K212" s="137"/>
      <c r="L212" s="137"/>
      <c r="M212" s="144"/>
      <c r="N212" s="164"/>
    </row>
    <row r="213" spans="1:14">
      <c r="A213" s="21"/>
      <c r="B213" s="21"/>
      <c r="C213" s="21"/>
      <c r="D213" s="21"/>
      <c r="E213" s="21"/>
      <c r="F213" s="21"/>
      <c r="G213" s="21"/>
      <c r="H213" s="21"/>
      <c r="I213" s="22"/>
      <c r="J213" s="22"/>
      <c r="K213" s="131"/>
      <c r="L213" s="137"/>
      <c r="M213" s="144"/>
      <c r="N213" s="164"/>
    </row>
    <row r="214" spans="1:14">
      <c r="A214" s="737" t="s">
        <v>293</v>
      </c>
      <c r="B214" s="737"/>
      <c r="C214" s="737"/>
      <c r="D214" s="737"/>
      <c r="E214" s="252">
        <f>D212*E121</f>
        <v>681.33319476923077</v>
      </c>
      <c r="F214" s="277"/>
      <c r="G214" s="21"/>
      <c r="H214" s="21"/>
      <c r="I214" s="22"/>
      <c r="J214" s="22"/>
      <c r="K214" s="131"/>
      <c r="L214" s="131"/>
      <c r="M214" s="278"/>
      <c r="N214" s="164"/>
    </row>
    <row r="215" spans="1:14">
      <c r="A215" s="662" t="s">
        <v>282</v>
      </c>
      <c r="B215" s="662"/>
      <c r="C215" s="662"/>
      <c r="D215" s="662"/>
      <c r="E215" s="252">
        <f>E214*E170</f>
        <v>2725.3327790769231</v>
      </c>
      <c r="F215" s="70"/>
      <c r="G215" s="21"/>
      <c r="H215" s="21"/>
      <c r="I215" s="22"/>
      <c r="J215" s="22"/>
      <c r="K215" s="131"/>
      <c r="L215" s="131"/>
      <c r="M215" s="278"/>
      <c r="N215" s="164"/>
    </row>
    <row r="216" spans="1:14">
      <c r="A216" s="21"/>
      <c r="B216" s="21"/>
      <c r="C216" s="21"/>
      <c r="D216" s="21"/>
      <c r="E216" s="21"/>
      <c r="F216" s="21"/>
      <c r="G216" s="21"/>
      <c r="H216" s="21"/>
      <c r="I216" s="22"/>
      <c r="J216" s="22"/>
      <c r="K216" s="131"/>
      <c r="L216" s="131"/>
      <c r="M216" s="278"/>
      <c r="N216" s="164"/>
    </row>
    <row r="217" spans="1:14">
      <c r="A217" s="1" t="s">
        <v>294</v>
      </c>
      <c r="B217" s="21"/>
      <c r="C217" s="21"/>
      <c r="D217" s="21"/>
      <c r="E217" s="738">
        <f>E225+E235+E243+E252+E259</f>
        <v>1549.2947873126222</v>
      </c>
      <c r="F217" s="738"/>
      <c r="G217" s="21"/>
      <c r="H217" s="21"/>
      <c r="I217" s="22"/>
      <c r="J217" s="22"/>
      <c r="K217" s="131"/>
      <c r="L217" s="134"/>
      <c r="M217" s="279"/>
      <c r="N217" s="166"/>
    </row>
    <row r="218" spans="1:14">
      <c r="A218" s="21"/>
      <c r="B218" s="21"/>
      <c r="C218" s="21"/>
      <c r="D218" s="21"/>
      <c r="E218" s="21"/>
      <c r="F218" s="21"/>
      <c r="G218" s="277"/>
      <c r="H218" s="21"/>
      <c r="I218" s="22"/>
      <c r="J218" s="22"/>
      <c r="K218" s="279"/>
      <c r="L218" s="279"/>
      <c r="M218" s="279"/>
      <c r="N218" s="138"/>
    </row>
    <row r="219" spans="1:14">
      <c r="A219" s="1" t="s">
        <v>295</v>
      </c>
      <c r="B219" s="21"/>
      <c r="C219" s="21"/>
      <c r="D219" s="21"/>
      <c r="E219" s="192"/>
      <c r="F219" s="21"/>
      <c r="G219" s="277"/>
      <c r="H219" s="21"/>
      <c r="I219" s="22"/>
      <c r="J219" s="22"/>
      <c r="K219" s="280"/>
      <c r="L219" s="280"/>
      <c r="M219" s="281"/>
      <c r="N219" s="163"/>
    </row>
    <row r="220" spans="1:14">
      <c r="A220" s="739" t="s">
        <v>296</v>
      </c>
      <c r="B220" s="739"/>
      <c r="C220" s="739"/>
      <c r="D220" s="739"/>
      <c r="E220" s="53">
        <v>23</v>
      </c>
      <c r="F220" s="21"/>
      <c r="G220" s="21"/>
      <c r="H220" s="21"/>
      <c r="I220" s="22"/>
      <c r="J220" s="22"/>
      <c r="K220" s="131"/>
      <c r="L220" s="131"/>
      <c r="M220" s="278"/>
      <c r="N220" s="164"/>
    </row>
    <row r="221" spans="1:14">
      <c r="A221" s="739" t="s">
        <v>297</v>
      </c>
      <c r="B221" s="739"/>
      <c r="C221" s="739"/>
      <c r="D221" s="739"/>
      <c r="E221" s="245">
        <f>(232+244.9+235.9+250+257.9+254.99)/6/20</f>
        <v>12.297416666666665</v>
      </c>
      <c r="F221" s="21" t="s">
        <v>298</v>
      </c>
      <c r="G221" s="282"/>
      <c r="H221" s="21"/>
      <c r="I221" s="22"/>
      <c r="J221" s="22"/>
      <c r="K221" s="131"/>
      <c r="L221" s="131"/>
      <c r="M221" s="278"/>
      <c r="N221" s="164"/>
    </row>
    <row r="222" spans="1:14">
      <c r="A222" s="739" t="s">
        <v>299</v>
      </c>
      <c r="B222" s="739"/>
      <c r="C222" s="739"/>
      <c r="D222" s="739"/>
      <c r="E222" s="283">
        <v>10000</v>
      </c>
      <c r="F222" s="21"/>
      <c r="G222" s="21"/>
      <c r="H222" s="21"/>
      <c r="I222" s="22"/>
      <c r="J222" s="22"/>
      <c r="K222" s="131"/>
      <c r="L222" s="131"/>
      <c r="M222" s="278"/>
      <c r="N222" s="164"/>
    </row>
    <row r="223" spans="1:14">
      <c r="A223" s="739" t="s">
        <v>300</v>
      </c>
      <c r="B223" s="739"/>
      <c r="C223" s="739"/>
      <c r="D223" s="739"/>
      <c r="E223" s="284">
        <f>E220*E221/E222</f>
        <v>2.828405833333333E-2</v>
      </c>
      <c r="F223" s="21"/>
      <c r="G223" s="21"/>
      <c r="H223" s="21"/>
      <c r="I223" s="22"/>
      <c r="J223" s="22"/>
      <c r="K223" s="131"/>
      <c r="L223" s="134"/>
      <c r="M223" s="285"/>
      <c r="N223" s="166"/>
    </row>
    <row r="224" spans="1:14">
      <c r="A224" s="662" t="s">
        <v>301</v>
      </c>
      <c r="B224" s="662"/>
      <c r="C224" s="662"/>
      <c r="D224" s="662"/>
      <c r="E224" s="245">
        <f>E223*E121</f>
        <v>83.52101407859999</v>
      </c>
      <c r="F224" s="21"/>
      <c r="G224" s="21"/>
      <c r="H224" s="21"/>
      <c r="I224" s="22"/>
      <c r="J224" s="22"/>
      <c r="K224" s="279"/>
      <c r="L224" s="279"/>
      <c r="M224" s="279"/>
      <c r="N224" s="138"/>
    </row>
    <row r="225" spans="1:19">
      <c r="A225" s="662" t="s">
        <v>302</v>
      </c>
      <c r="B225" s="662"/>
      <c r="C225" s="662"/>
      <c r="D225" s="662"/>
      <c r="E225" s="286">
        <f>E224*E170</f>
        <v>334.08405631439996</v>
      </c>
      <c r="F225" s="21"/>
      <c r="G225" s="21"/>
      <c r="H225" s="21"/>
      <c r="L225" s="279"/>
      <c r="M225" s="279"/>
      <c r="N225" s="138"/>
    </row>
    <row r="226" spans="1:19">
      <c r="A226" s="21"/>
      <c r="B226" s="21"/>
      <c r="C226" s="21"/>
      <c r="D226" s="21"/>
      <c r="E226" s="287"/>
      <c r="F226" s="21"/>
      <c r="G226" s="21"/>
      <c r="H226" s="21"/>
      <c r="I226" s="22"/>
      <c r="J226" s="22"/>
      <c r="K226" s="280"/>
      <c r="L226" s="280"/>
      <c r="M226" s="281"/>
      <c r="N226" s="163"/>
    </row>
    <row r="227" spans="1:19">
      <c r="A227" s="1" t="s">
        <v>303</v>
      </c>
      <c r="B227" s="21"/>
      <c r="C227" s="21"/>
      <c r="D227" s="21"/>
      <c r="E227" s="21"/>
      <c r="F227" s="21"/>
      <c r="G227" s="21"/>
      <c r="H227" s="21"/>
      <c r="I227" s="22"/>
      <c r="J227" s="22"/>
      <c r="K227" s="131"/>
      <c r="L227" s="131"/>
      <c r="M227" s="278"/>
      <c r="N227" s="148"/>
    </row>
    <row r="228" spans="1:19">
      <c r="A228" s="725" t="s">
        <v>304</v>
      </c>
      <c r="B228" s="725"/>
      <c r="C228" s="725"/>
      <c r="D228" s="725"/>
      <c r="E228" s="53">
        <v>10</v>
      </c>
      <c r="F228" s="21"/>
      <c r="G228" s="21"/>
      <c r="H228" s="21"/>
      <c r="I228" s="22"/>
      <c r="J228" s="22"/>
      <c r="K228" s="131"/>
      <c r="L228" s="131"/>
      <c r="M228" s="278"/>
      <c r="N228" s="148"/>
    </row>
    <row r="229" spans="1:19">
      <c r="A229" s="725" t="s">
        <v>305</v>
      </c>
      <c r="B229" s="725"/>
      <c r="C229" s="725"/>
      <c r="D229" s="725"/>
      <c r="E229" s="53">
        <v>20</v>
      </c>
      <c r="F229" s="21"/>
      <c r="G229" s="21"/>
      <c r="H229" s="21"/>
      <c r="I229" s="22"/>
      <c r="J229" s="22"/>
      <c r="K229" s="131"/>
      <c r="L229" s="131"/>
      <c r="M229" s="278"/>
      <c r="N229" s="148"/>
    </row>
    <row r="230" spans="1:19">
      <c r="A230" s="725" t="s">
        <v>306</v>
      </c>
      <c r="B230" s="725"/>
      <c r="C230" s="725"/>
      <c r="D230" s="725"/>
      <c r="E230" s="245">
        <f>E221</f>
        <v>12.297416666666665</v>
      </c>
      <c r="F230" s="21" t="s">
        <v>298</v>
      </c>
      <c r="G230" s="21"/>
      <c r="H230" s="21"/>
      <c r="I230" s="22"/>
      <c r="J230" s="22"/>
      <c r="K230" s="131"/>
      <c r="L230" s="134"/>
      <c r="M230" s="278"/>
      <c r="N230" s="164"/>
    </row>
    <row r="231" spans="1:19">
      <c r="A231" s="725" t="s">
        <v>307</v>
      </c>
      <c r="B231" s="725"/>
      <c r="C231" s="725"/>
      <c r="D231" s="725"/>
      <c r="E231" s="245">
        <f>(34+230/20)/2</f>
        <v>22.75</v>
      </c>
      <c r="F231" s="21" t="s">
        <v>308</v>
      </c>
      <c r="G231" s="21"/>
      <c r="H231" s="21"/>
      <c r="I231" s="22"/>
      <c r="J231" s="22"/>
      <c r="K231" s="131"/>
      <c r="L231" s="134"/>
      <c r="M231" s="278"/>
      <c r="N231" s="164"/>
    </row>
    <row r="232" spans="1:19">
      <c r="A232" s="725" t="s">
        <v>299</v>
      </c>
      <c r="B232" s="725"/>
      <c r="C232" s="725"/>
      <c r="D232" s="725"/>
      <c r="E232" s="61">
        <v>30000</v>
      </c>
      <c r="F232" s="21" t="s">
        <v>309</v>
      </c>
      <c r="G232" s="21"/>
      <c r="H232" s="21"/>
      <c r="I232" s="22"/>
      <c r="J232" s="22"/>
      <c r="K232" s="131"/>
      <c r="L232" s="131"/>
      <c r="M232" s="278"/>
      <c r="N232" s="164"/>
    </row>
    <row r="233" spans="1:19">
      <c r="A233" s="725" t="s">
        <v>300</v>
      </c>
      <c r="B233" s="725"/>
      <c r="C233" s="725"/>
      <c r="D233" s="725"/>
      <c r="E233" s="288">
        <f>(E228*E230+E229*E231)/E232</f>
        <v>1.9265805555555553E-2</v>
      </c>
      <c r="F233" s="21"/>
      <c r="G233" s="21"/>
      <c r="H233" s="21"/>
      <c r="I233" s="22"/>
      <c r="J233" s="22"/>
      <c r="K233" s="131"/>
      <c r="L233" s="134"/>
      <c r="M233" s="285"/>
      <c r="N233" s="166"/>
    </row>
    <row r="234" spans="1:19">
      <c r="A234" s="662" t="s">
        <v>301</v>
      </c>
      <c r="B234" s="662"/>
      <c r="C234" s="662"/>
      <c r="D234" s="662"/>
      <c r="E234" s="245">
        <f>E233*E121</f>
        <v>56.890690793999987</v>
      </c>
      <c r="F234" s="21"/>
      <c r="G234" s="21"/>
      <c r="H234" s="21"/>
      <c r="I234" s="22"/>
      <c r="J234" s="22"/>
      <c r="K234" s="289"/>
      <c r="L234" s="289"/>
      <c r="M234" s="290"/>
      <c r="N234" s="224"/>
      <c r="O234" s="193"/>
      <c r="P234" s="193"/>
      <c r="Q234" s="193"/>
      <c r="R234" s="193"/>
      <c r="S234" s="193"/>
    </row>
    <row r="235" spans="1:19">
      <c r="A235" s="662" t="s">
        <v>302</v>
      </c>
      <c r="B235" s="662"/>
      <c r="C235" s="662"/>
      <c r="D235" s="662"/>
      <c r="E235" s="286">
        <f>E234*E170</f>
        <v>227.56276317599995</v>
      </c>
      <c r="F235" s="21"/>
      <c r="G235" s="21"/>
      <c r="H235" s="21"/>
      <c r="I235" s="22"/>
      <c r="J235" s="22"/>
      <c r="K235" s="289"/>
      <c r="L235" s="289"/>
      <c r="M235" s="290"/>
      <c r="N235" s="224"/>
      <c r="O235" s="193"/>
      <c r="P235" s="193"/>
      <c r="Q235" s="193"/>
      <c r="R235" s="193"/>
      <c r="S235" s="193"/>
    </row>
    <row r="236" spans="1:19">
      <c r="A236" s="21"/>
      <c r="B236" s="21"/>
      <c r="C236" s="21"/>
      <c r="D236" s="21"/>
      <c r="E236" s="21"/>
      <c r="F236" s="21"/>
      <c r="G236" s="21"/>
      <c r="H236" s="21"/>
      <c r="I236" s="22"/>
      <c r="J236" s="22"/>
      <c r="K236" s="289"/>
      <c r="L236" s="291"/>
      <c r="M236" s="292"/>
      <c r="N236" s="224"/>
      <c r="O236" s="193"/>
      <c r="P236" s="193"/>
      <c r="Q236" s="193"/>
      <c r="R236" s="193"/>
      <c r="S236" s="193"/>
    </row>
    <row r="237" spans="1:19">
      <c r="A237" s="1" t="s">
        <v>310</v>
      </c>
      <c r="B237" s="21"/>
      <c r="C237" s="21"/>
      <c r="D237" s="21"/>
      <c r="E237" s="21"/>
      <c r="F237" s="21"/>
      <c r="G237" s="21"/>
      <c r="H237" s="21"/>
      <c r="I237" s="22"/>
      <c r="J237" s="22"/>
      <c r="K237" s="289"/>
      <c r="L237" s="289"/>
      <c r="M237" s="289"/>
      <c r="N237" s="213"/>
      <c r="O237" s="193"/>
      <c r="P237" s="193"/>
      <c r="Q237" s="193"/>
      <c r="R237" s="193"/>
      <c r="S237" s="193"/>
    </row>
    <row r="238" spans="1:19" ht="15" customHeight="1">
      <c r="A238" s="740" t="s">
        <v>311</v>
      </c>
      <c r="B238" s="740"/>
      <c r="C238" s="740"/>
      <c r="D238" s="740"/>
      <c r="E238" s="293">
        <v>100</v>
      </c>
      <c r="F238" s="294"/>
      <c r="G238" s="21"/>
      <c r="H238" s="21"/>
      <c r="I238" s="22"/>
      <c r="J238" s="22"/>
      <c r="K238" s="295"/>
      <c r="L238" s="291"/>
      <c r="M238" s="291"/>
      <c r="N238" s="228"/>
      <c r="O238" s="193"/>
      <c r="P238" s="193"/>
      <c r="Q238" s="193"/>
      <c r="R238" s="193"/>
      <c r="S238" s="193"/>
    </row>
    <row r="239" spans="1:19">
      <c r="A239" s="725" t="s">
        <v>312</v>
      </c>
      <c r="B239" s="725"/>
      <c r="C239" s="725"/>
      <c r="D239" s="725"/>
      <c r="E239" s="296">
        <v>10</v>
      </c>
      <c r="F239" s="294"/>
      <c r="G239" s="21"/>
      <c r="H239" s="21"/>
      <c r="I239" s="22"/>
      <c r="J239" s="22"/>
      <c r="K239" s="297"/>
      <c r="L239" s="297"/>
      <c r="M239" s="298"/>
      <c r="N239" s="299"/>
      <c r="O239" s="193"/>
      <c r="P239" s="193"/>
      <c r="Q239" s="193"/>
      <c r="R239" s="193"/>
      <c r="S239" s="193"/>
    </row>
    <row r="240" spans="1:19">
      <c r="A240" s="725" t="s">
        <v>313</v>
      </c>
      <c r="B240" s="725"/>
      <c r="C240" s="725"/>
      <c r="D240" s="725"/>
      <c r="E240" s="300">
        <v>3600</v>
      </c>
      <c r="F240" s="294"/>
      <c r="G240" s="21"/>
      <c r="H240" s="21"/>
      <c r="I240" s="22"/>
      <c r="J240" s="22"/>
      <c r="K240" s="297"/>
      <c r="L240" s="297"/>
      <c r="M240" s="298"/>
      <c r="N240" s="299"/>
      <c r="O240" s="193"/>
      <c r="P240" s="193"/>
      <c r="Q240" s="193"/>
      <c r="R240" s="193"/>
      <c r="S240" s="193"/>
    </row>
    <row r="241" spans="1:19">
      <c r="A241" s="725" t="s">
        <v>314</v>
      </c>
      <c r="B241" s="725"/>
      <c r="C241" s="725"/>
      <c r="D241" s="725"/>
      <c r="E241" s="301">
        <f>E238*E239/E240</f>
        <v>0.27777777777777779</v>
      </c>
      <c r="F241" s="21">
        <f>16*26</f>
        <v>416</v>
      </c>
      <c r="G241" s="21" t="s">
        <v>315</v>
      </c>
      <c r="H241" s="21"/>
      <c r="I241" s="22"/>
      <c r="J241" s="22"/>
      <c r="K241" s="297"/>
      <c r="L241" s="297"/>
      <c r="M241" s="298"/>
      <c r="N241" s="299"/>
      <c r="O241" s="193"/>
      <c r="P241" s="193"/>
      <c r="Q241" s="193"/>
      <c r="R241" s="193"/>
      <c r="S241" s="193"/>
    </row>
    <row r="242" spans="1:19">
      <c r="A242" s="662" t="s">
        <v>301</v>
      </c>
      <c r="B242" s="662"/>
      <c r="C242" s="662"/>
      <c r="D242" s="662"/>
      <c r="E242" s="302">
        <f>E241*16*26</f>
        <v>115.55555555555556</v>
      </c>
      <c r="F242" s="21"/>
      <c r="G242" s="21"/>
      <c r="H242" s="21"/>
      <c r="I242" s="22"/>
      <c r="J242" s="22"/>
      <c r="K242" s="289"/>
      <c r="L242" s="289"/>
      <c r="M242" s="303"/>
      <c r="N242" s="229"/>
      <c r="O242" s="193"/>
      <c r="P242" s="193"/>
      <c r="Q242" s="193"/>
      <c r="R242" s="193"/>
      <c r="S242" s="193"/>
    </row>
    <row r="243" spans="1:19">
      <c r="A243" s="662" t="s">
        <v>302</v>
      </c>
      <c r="B243" s="662"/>
      <c r="C243" s="662"/>
      <c r="D243" s="662"/>
      <c r="E243" s="286">
        <f>E242*E170</f>
        <v>462.22222222222223</v>
      </c>
      <c r="F243" s="21"/>
      <c r="G243" s="21"/>
      <c r="H243" s="21"/>
      <c r="I243" s="22"/>
      <c r="J243" s="22"/>
      <c r="K243" s="289"/>
      <c r="L243" s="289"/>
      <c r="M243" s="303"/>
      <c r="N243" s="229"/>
      <c r="O243" s="193"/>
      <c r="P243" s="193"/>
      <c r="Q243" s="193"/>
      <c r="R243" s="193"/>
      <c r="S243" s="193"/>
    </row>
    <row r="244" spans="1:19">
      <c r="A244" s="21"/>
      <c r="B244" s="21"/>
      <c r="C244" s="21"/>
      <c r="D244" s="21"/>
      <c r="E244" s="21"/>
      <c r="F244" s="21"/>
      <c r="G244" s="21"/>
      <c r="H244" s="21"/>
      <c r="I244" s="22"/>
      <c r="J244" s="22"/>
      <c r="K244" s="289"/>
      <c r="L244" s="289"/>
      <c r="M244" s="303"/>
      <c r="N244" s="215"/>
      <c r="O244" s="193"/>
      <c r="P244" s="193"/>
      <c r="Q244" s="193"/>
      <c r="R244" s="193"/>
      <c r="S244" s="193"/>
    </row>
    <row r="245" spans="1:19">
      <c r="A245" s="1" t="s">
        <v>316</v>
      </c>
      <c r="B245" s="21"/>
      <c r="C245" s="21"/>
      <c r="D245" s="21"/>
      <c r="E245" s="21"/>
      <c r="F245" s="21"/>
      <c r="G245" s="21"/>
      <c r="H245" s="21"/>
      <c r="I245" s="22"/>
      <c r="J245" s="22"/>
      <c r="K245" s="289"/>
      <c r="L245" s="289"/>
      <c r="M245" s="303"/>
      <c r="N245" s="215"/>
      <c r="O245" s="193"/>
      <c r="P245" s="193"/>
      <c r="Q245" s="193"/>
      <c r="R245" s="193"/>
      <c r="S245" s="193"/>
    </row>
    <row r="246" spans="1:19">
      <c r="A246" s="739" t="s">
        <v>317</v>
      </c>
      <c r="B246" s="739"/>
      <c r="C246" s="739"/>
      <c r="D246" s="739"/>
      <c r="E246" s="245">
        <f>(75+95)/2+(69+115)/2+(95+185)/2</f>
        <v>317</v>
      </c>
      <c r="F246" s="21"/>
      <c r="G246" s="21"/>
      <c r="H246" s="21"/>
      <c r="I246" s="22"/>
      <c r="J246" s="22"/>
      <c r="K246" s="289"/>
      <c r="L246" s="289"/>
      <c r="M246" s="303"/>
      <c r="N246" s="215"/>
      <c r="O246" s="193"/>
      <c r="P246" s="193"/>
      <c r="Q246" s="193"/>
      <c r="R246" s="193"/>
      <c r="S246" s="193"/>
    </row>
    <row r="247" spans="1:19">
      <c r="A247" s="739" t="s">
        <v>318</v>
      </c>
      <c r="B247" s="739"/>
      <c r="C247" s="739"/>
      <c r="D247" s="739"/>
      <c r="E247" s="283">
        <v>10000</v>
      </c>
      <c r="F247" s="21"/>
      <c r="G247" s="21"/>
      <c r="H247" s="21"/>
      <c r="I247" s="22"/>
      <c r="J247" s="22"/>
      <c r="K247" s="289"/>
      <c r="L247" s="289"/>
      <c r="M247" s="303"/>
      <c r="N247" s="215"/>
      <c r="O247" s="193"/>
      <c r="P247" s="193"/>
      <c r="Q247" s="193"/>
      <c r="R247" s="193"/>
      <c r="S247" s="193"/>
    </row>
    <row r="248" spans="1:19">
      <c r="A248" s="739" t="s">
        <v>319</v>
      </c>
      <c r="B248" s="739"/>
      <c r="C248" s="739"/>
      <c r="D248" s="739"/>
      <c r="E248" s="304">
        <f>(115+99)/2</f>
        <v>107</v>
      </c>
      <c r="F248" s="21"/>
      <c r="G248" s="21"/>
      <c r="H248" s="21"/>
      <c r="I248" s="22"/>
      <c r="J248" s="22"/>
      <c r="K248" s="289"/>
      <c r="L248" s="289"/>
      <c r="M248" s="303"/>
      <c r="N248" s="215"/>
      <c r="O248" s="193"/>
      <c r="P248" s="193"/>
      <c r="Q248" s="193"/>
      <c r="R248" s="193"/>
      <c r="S248" s="193"/>
    </row>
    <row r="249" spans="1:19">
      <c r="A249" s="739" t="s">
        <v>320</v>
      </c>
      <c r="B249" s="739"/>
      <c r="C249" s="739"/>
      <c r="D249" s="739"/>
      <c r="E249" s="283">
        <v>60000</v>
      </c>
      <c r="F249" s="21"/>
      <c r="G249" s="21"/>
      <c r="H249" s="21"/>
      <c r="I249" s="22"/>
      <c r="J249" s="22"/>
      <c r="K249" s="289"/>
      <c r="L249" s="289"/>
      <c r="M249" s="303"/>
      <c r="N249" s="215"/>
      <c r="O249" s="193"/>
      <c r="P249" s="193"/>
      <c r="Q249" s="193"/>
      <c r="R249" s="193"/>
      <c r="S249" s="193"/>
    </row>
    <row r="250" spans="1:19">
      <c r="A250" s="725" t="s">
        <v>300</v>
      </c>
      <c r="B250" s="725"/>
      <c r="C250" s="725"/>
      <c r="D250" s="725"/>
      <c r="E250" s="305">
        <f>E246/E247+E248/E249</f>
        <v>3.348333333333333E-2</v>
      </c>
      <c r="F250" s="21"/>
      <c r="G250" s="21"/>
      <c r="H250" s="21"/>
      <c r="I250" s="22"/>
      <c r="J250" s="22"/>
      <c r="K250" s="289"/>
      <c r="L250" s="289"/>
      <c r="M250" s="303"/>
      <c r="N250" s="215"/>
      <c r="O250" s="193"/>
      <c r="P250" s="193"/>
      <c r="Q250" s="193"/>
      <c r="R250" s="193"/>
      <c r="S250" s="193"/>
    </row>
    <row r="251" spans="1:19">
      <c r="A251" s="662" t="s">
        <v>301</v>
      </c>
      <c r="B251" s="662"/>
      <c r="C251" s="662"/>
      <c r="D251" s="662"/>
      <c r="E251" s="306">
        <f>E250*E121</f>
        <v>98.874140399999987</v>
      </c>
      <c r="F251" s="21"/>
      <c r="G251" s="21"/>
      <c r="H251" s="21"/>
      <c r="I251" s="22"/>
      <c r="J251" s="22"/>
      <c r="K251" s="289"/>
      <c r="L251" s="289"/>
      <c r="M251" s="303"/>
      <c r="N251" s="215"/>
      <c r="O251" s="193"/>
      <c r="P251" s="193"/>
      <c r="Q251" s="193"/>
      <c r="R251" s="193"/>
      <c r="S251" s="193"/>
    </row>
    <row r="252" spans="1:19">
      <c r="A252" s="662" t="s">
        <v>302</v>
      </c>
      <c r="B252" s="662"/>
      <c r="C252" s="662"/>
      <c r="D252" s="662"/>
      <c r="E252" s="307">
        <f>E251*E170</f>
        <v>395.49656159999995</v>
      </c>
      <c r="F252" s="21"/>
      <c r="G252" s="21"/>
      <c r="H252" s="21"/>
      <c r="I252" s="22"/>
      <c r="J252" s="22"/>
      <c r="K252" s="289"/>
      <c r="L252" s="289"/>
      <c r="M252" s="303"/>
      <c r="N252" s="215"/>
      <c r="O252" s="193"/>
      <c r="P252" s="193"/>
      <c r="Q252" s="193"/>
      <c r="R252" s="193"/>
      <c r="S252" s="193"/>
    </row>
    <row r="253" spans="1:19">
      <c r="A253" s="21"/>
      <c r="B253" s="21"/>
      <c r="C253" s="21"/>
      <c r="D253" s="21"/>
      <c r="E253" s="21"/>
      <c r="F253" s="21"/>
      <c r="G253" s="21"/>
      <c r="H253" s="21"/>
      <c r="I253" s="22"/>
      <c r="J253" s="22"/>
      <c r="K253" s="289"/>
      <c r="L253" s="289"/>
      <c r="M253" s="303"/>
      <c r="N253" s="215"/>
      <c r="O253" s="193"/>
      <c r="P253" s="193"/>
      <c r="Q253" s="193"/>
      <c r="R253" s="193"/>
      <c r="S253" s="193"/>
    </row>
    <row r="254" spans="1:19">
      <c r="A254" s="1" t="s">
        <v>321</v>
      </c>
      <c r="B254" s="21"/>
      <c r="C254" s="21"/>
      <c r="D254" s="21"/>
      <c r="E254" s="21"/>
      <c r="F254" s="21"/>
      <c r="G254" s="21"/>
      <c r="H254" s="21"/>
      <c r="I254" s="22"/>
      <c r="J254" s="22"/>
      <c r="K254" s="289"/>
      <c r="L254" s="289"/>
      <c r="M254" s="303"/>
      <c r="N254" s="215"/>
      <c r="O254" s="193"/>
      <c r="P254" s="193"/>
      <c r="Q254" s="193"/>
      <c r="R254" s="193"/>
      <c r="S254" s="193"/>
    </row>
    <row r="255" spans="1:19">
      <c r="A255" s="725" t="s">
        <v>322</v>
      </c>
      <c r="B255" s="725"/>
      <c r="C255" s="725"/>
      <c r="D255" s="725"/>
      <c r="E255" s="308">
        <v>11</v>
      </c>
      <c r="F255" s="21"/>
      <c r="G255" s="21"/>
      <c r="H255" s="21"/>
      <c r="I255" s="22"/>
      <c r="J255" s="22"/>
      <c r="K255" s="289"/>
      <c r="L255" s="289"/>
      <c r="M255" s="303"/>
      <c r="N255" s="215"/>
      <c r="O255" s="193"/>
      <c r="P255" s="193"/>
      <c r="Q255" s="193"/>
      <c r="R255" s="193"/>
      <c r="S255" s="193"/>
    </row>
    <row r="256" spans="1:19">
      <c r="A256" s="725" t="s">
        <v>323</v>
      </c>
      <c r="B256" s="725"/>
      <c r="C256" s="725"/>
      <c r="D256" s="725"/>
      <c r="E256" s="309">
        <f>1/1000</f>
        <v>1E-3</v>
      </c>
      <c r="F256" s="21"/>
      <c r="G256" s="21"/>
      <c r="H256" s="21"/>
      <c r="I256" s="22"/>
      <c r="J256" s="22"/>
      <c r="K256" s="289"/>
      <c r="L256" s="289"/>
      <c r="M256" s="303"/>
      <c r="N256" s="215"/>
      <c r="O256" s="193"/>
      <c r="P256" s="193"/>
      <c r="Q256" s="193"/>
      <c r="R256" s="193"/>
      <c r="S256" s="193"/>
    </row>
    <row r="257" spans="1:19">
      <c r="A257" s="725" t="s">
        <v>324</v>
      </c>
      <c r="B257" s="725"/>
      <c r="C257" s="725"/>
      <c r="D257" s="725"/>
      <c r="E257" s="310">
        <f>E256*E121</f>
        <v>2.9529359999999998</v>
      </c>
      <c r="F257" s="21"/>
      <c r="G257" s="21"/>
      <c r="H257" s="21"/>
      <c r="I257" s="22"/>
      <c r="J257" s="22"/>
      <c r="K257" s="289"/>
      <c r="L257" s="289"/>
      <c r="M257" s="303"/>
      <c r="N257" s="215"/>
      <c r="O257" s="193"/>
      <c r="P257" s="193"/>
      <c r="Q257" s="193"/>
      <c r="R257" s="193"/>
      <c r="S257" s="193"/>
    </row>
    <row r="258" spans="1:19">
      <c r="A258" s="662" t="s">
        <v>301</v>
      </c>
      <c r="B258" s="662"/>
      <c r="C258" s="662"/>
      <c r="D258" s="662"/>
      <c r="E258" s="311">
        <f>E257*E255</f>
        <v>32.482295999999998</v>
      </c>
      <c r="F258" s="21"/>
      <c r="G258" s="21"/>
      <c r="H258" s="21"/>
      <c r="I258" s="22"/>
      <c r="J258" s="22"/>
      <c r="K258" s="289"/>
      <c r="L258" s="289"/>
      <c r="M258" s="303"/>
      <c r="N258" s="215"/>
      <c r="O258" s="193"/>
      <c r="P258" s="193"/>
      <c r="Q258" s="193"/>
      <c r="R258" s="193"/>
      <c r="S258" s="193"/>
    </row>
    <row r="259" spans="1:19">
      <c r="A259" s="662" t="s">
        <v>302</v>
      </c>
      <c r="B259" s="662"/>
      <c r="C259" s="662"/>
      <c r="D259" s="662"/>
      <c r="E259" s="264">
        <f>E258*E170</f>
        <v>129.92918399999999</v>
      </c>
      <c r="F259" s="21"/>
      <c r="G259" s="21"/>
      <c r="H259" s="21"/>
      <c r="I259" s="22"/>
      <c r="J259" s="22"/>
      <c r="K259" s="289"/>
      <c r="L259" s="289"/>
      <c r="M259" s="303"/>
      <c r="N259" s="215"/>
      <c r="O259" s="193"/>
      <c r="P259" s="193"/>
      <c r="Q259" s="193"/>
      <c r="R259" s="193"/>
      <c r="S259" s="193"/>
    </row>
    <row r="260" spans="1:19">
      <c r="A260" s="21"/>
      <c r="B260" s="21"/>
      <c r="C260" s="21"/>
      <c r="D260" s="21"/>
      <c r="E260" s="21"/>
      <c r="F260" s="21"/>
      <c r="G260" s="21"/>
      <c r="H260" s="21"/>
      <c r="I260" s="22"/>
      <c r="J260" s="22"/>
      <c r="K260" s="289"/>
      <c r="L260" s="289"/>
      <c r="M260" s="303"/>
      <c r="N260" s="215"/>
      <c r="O260" s="193"/>
      <c r="P260" s="193"/>
      <c r="Q260" s="193"/>
      <c r="R260" s="193"/>
      <c r="S260" s="193"/>
    </row>
    <row r="261" spans="1:19">
      <c r="A261" s="1" t="s">
        <v>325</v>
      </c>
      <c r="B261" s="21"/>
      <c r="C261" s="21"/>
      <c r="D261" s="21"/>
      <c r="E261" s="741">
        <f>E265</f>
        <v>2180.96</v>
      </c>
      <c r="F261" s="741"/>
      <c r="G261" s="21"/>
      <c r="H261" s="21"/>
      <c r="I261" s="22"/>
      <c r="J261" s="22"/>
      <c r="K261" s="289"/>
      <c r="L261" s="289"/>
      <c r="M261" s="303"/>
      <c r="N261" s="215"/>
      <c r="O261" s="193"/>
      <c r="P261" s="193"/>
      <c r="Q261" s="193"/>
      <c r="R261" s="193"/>
      <c r="S261" s="193"/>
    </row>
    <row r="262" spans="1:19">
      <c r="A262" s="1"/>
      <c r="B262" s="21"/>
      <c r="C262" s="21"/>
      <c r="D262" s="21"/>
      <c r="E262" s="312"/>
      <c r="F262" s="312"/>
      <c r="G262" s="21"/>
      <c r="H262" s="21"/>
      <c r="I262" s="22"/>
      <c r="J262" s="22"/>
      <c r="K262" s="289"/>
      <c r="L262" s="289"/>
      <c r="M262" s="303"/>
      <c r="N262" s="215"/>
      <c r="O262" s="193"/>
      <c r="P262" s="193"/>
      <c r="Q262" s="193"/>
      <c r="R262" s="193"/>
      <c r="S262" s="193"/>
    </row>
    <row r="263" spans="1:19" ht="24.75" customHeight="1">
      <c r="A263" s="681" t="s">
        <v>326</v>
      </c>
      <c r="B263" s="681"/>
      <c r="C263" s="681"/>
      <c r="D263" s="681"/>
      <c r="E263" s="265">
        <f>(4.7*0.2*26) + 120*4.34</f>
        <v>545.24</v>
      </c>
      <c r="F263" s="21"/>
      <c r="G263" s="21"/>
      <c r="H263" s="21"/>
      <c r="I263" s="22"/>
      <c r="J263" s="22"/>
      <c r="K263" s="289"/>
      <c r="L263" s="289"/>
      <c r="M263" s="313"/>
      <c r="N263" s="314"/>
      <c r="O263" s="193"/>
      <c r="P263" s="193"/>
      <c r="Q263" s="193"/>
      <c r="R263" s="193"/>
      <c r="S263" s="193"/>
    </row>
    <row r="264" spans="1:19">
      <c r="A264" s="725" t="s">
        <v>327</v>
      </c>
      <c r="B264" s="725"/>
      <c r="C264" s="725"/>
      <c r="D264" s="725"/>
      <c r="E264" s="315">
        <f>E170</f>
        <v>4</v>
      </c>
      <c r="F264" s="21"/>
      <c r="G264" s="21"/>
      <c r="H264" s="21"/>
      <c r="I264" s="22"/>
      <c r="J264" s="22"/>
      <c r="K264" s="289"/>
      <c r="L264" s="289"/>
      <c r="M264" s="289"/>
      <c r="N264" s="213"/>
      <c r="O264" s="193"/>
      <c r="P264" s="193"/>
      <c r="Q264" s="193"/>
      <c r="R264" s="193"/>
      <c r="S264" s="193"/>
    </row>
    <row r="265" spans="1:19">
      <c r="A265" s="662" t="s">
        <v>328</v>
      </c>
      <c r="B265" s="662"/>
      <c r="C265" s="662"/>
      <c r="D265" s="662"/>
      <c r="E265" s="264">
        <f>E263*E264</f>
        <v>2180.96</v>
      </c>
      <c r="F265" s="21"/>
      <c r="G265" s="21"/>
      <c r="H265" s="21"/>
      <c r="I265" s="22"/>
      <c r="J265" s="22"/>
      <c r="K265" s="289"/>
      <c r="L265" s="289"/>
      <c r="M265" s="289"/>
      <c r="N265" s="213"/>
      <c r="O265" s="193"/>
      <c r="P265" s="193"/>
      <c r="Q265" s="193"/>
      <c r="R265" s="193"/>
      <c r="S265" s="193"/>
    </row>
    <row r="266" spans="1:19">
      <c r="A266" s="259"/>
      <c r="B266" s="259"/>
      <c r="C266" s="259"/>
      <c r="D266" s="259"/>
      <c r="E266" s="316"/>
      <c r="F266" s="21"/>
      <c r="G266" s="21"/>
      <c r="H266" s="21"/>
      <c r="I266" s="22"/>
      <c r="J266" s="22"/>
      <c r="K266" s="289"/>
      <c r="L266" s="289"/>
      <c r="M266" s="289"/>
      <c r="N266" s="213"/>
      <c r="O266" s="193"/>
      <c r="P266" s="193"/>
      <c r="Q266" s="193"/>
      <c r="R266" s="193"/>
      <c r="S266" s="193"/>
    </row>
    <row r="267" spans="1:19">
      <c r="A267" s="1" t="s">
        <v>329</v>
      </c>
      <c r="B267" s="21"/>
      <c r="C267" s="21"/>
      <c r="D267" s="21"/>
      <c r="E267" s="742">
        <f>E276+F276</f>
        <v>6206.3908333333347</v>
      </c>
      <c r="F267" s="742"/>
      <c r="G267" s="21"/>
      <c r="H267" s="21"/>
      <c r="I267" s="22"/>
      <c r="J267" s="22"/>
      <c r="K267" s="289"/>
      <c r="L267" s="289"/>
      <c r="M267" s="289"/>
      <c r="N267" s="233"/>
      <c r="O267" s="193"/>
      <c r="P267" s="193"/>
      <c r="Q267" s="193"/>
      <c r="R267" s="193"/>
      <c r="S267" s="193"/>
    </row>
    <row r="268" spans="1:19">
      <c r="A268" s="1"/>
      <c r="B268" s="21"/>
      <c r="C268" s="21"/>
      <c r="D268" s="21"/>
      <c r="E268" s="317"/>
      <c r="F268" s="113"/>
      <c r="G268" s="21"/>
      <c r="H268" s="21"/>
      <c r="I268" s="22"/>
      <c r="J268" s="22"/>
      <c r="K268" s="289"/>
      <c r="L268" s="289"/>
      <c r="M268" s="289"/>
      <c r="N268" s="233"/>
      <c r="O268" s="193"/>
      <c r="P268" s="193"/>
      <c r="Q268" s="193"/>
      <c r="R268" s="193"/>
      <c r="S268" s="193"/>
    </row>
    <row r="269" spans="1:19">
      <c r="A269" s="21"/>
      <c r="B269" s="21"/>
      <c r="C269" s="21"/>
      <c r="D269" s="21"/>
      <c r="E269" s="30" t="s">
        <v>250</v>
      </c>
      <c r="F269" s="30" t="s">
        <v>251</v>
      </c>
      <c r="G269" s="21"/>
      <c r="H269" s="21"/>
      <c r="I269" s="318"/>
      <c r="J269" s="318"/>
      <c r="K269" s="289"/>
      <c r="L269" s="289"/>
      <c r="M269" s="289"/>
      <c r="N269" s="233"/>
      <c r="O269" s="193"/>
      <c r="P269" s="193"/>
      <c r="Q269" s="193"/>
      <c r="R269" s="193"/>
      <c r="S269" s="193"/>
    </row>
    <row r="270" spans="1:19">
      <c r="A270" s="743" t="s">
        <v>330</v>
      </c>
      <c r="B270" s="743"/>
      <c r="C270" s="743"/>
      <c r="D270" s="743"/>
      <c r="E270" s="245">
        <v>5.78</v>
      </c>
      <c r="F270" s="311">
        <f>E270</f>
        <v>5.78</v>
      </c>
      <c r="G270" s="21"/>
      <c r="H270" s="21"/>
      <c r="I270" s="318"/>
      <c r="J270" s="318"/>
      <c r="K270" s="289"/>
      <c r="L270" s="289"/>
      <c r="M270" s="289"/>
      <c r="N270" s="233"/>
      <c r="O270" s="193"/>
      <c r="P270" s="193"/>
      <c r="Q270" s="193"/>
      <c r="R270" s="193"/>
      <c r="S270" s="193"/>
    </row>
    <row r="271" spans="1:19">
      <c r="A271" s="743" t="s">
        <v>331</v>
      </c>
      <c r="B271" s="743"/>
      <c r="C271" s="743"/>
      <c r="D271" s="743"/>
      <c r="E271" s="245">
        <f>1.5/100*E169</f>
        <v>2906.8274999999999</v>
      </c>
      <c r="F271" s="311">
        <f>1.5/100*E180</f>
        <v>2166.36</v>
      </c>
      <c r="G271" s="21"/>
      <c r="H271" s="21"/>
      <c r="I271" s="319"/>
      <c r="J271" s="318"/>
      <c r="K271" s="289"/>
      <c r="L271" s="289"/>
      <c r="M271" s="289"/>
      <c r="N271" s="233"/>
      <c r="O271" s="193"/>
      <c r="P271" s="193"/>
      <c r="Q271" s="193"/>
      <c r="R271" s="193"/>
      <c r="S271" s="193"/>
    </row>
    <row r="272" spans="1:19">
      <c r="A272" s="743" t="s">
        <v>332</v>
      </c>
      <c r="B272" s="743"/>
      <c r="C272" s="743"/>
      <c r="D272" s="743"/>
      <c r="E272" s="245">
        <f>(0.04*E167)</f>
        <v>12451.54</v>
      </c>
      <c r="F272" s="311">
        <f>0.04*E178</f>
        <v>10476.960000000001</v>
      </c>
      <c r="G272" s="21"/>
      <c r="H272" s="21"/>
      <c r="I272" s="319"/>
      <c r="J272" s="318"/>
      <c r="K272" s="289"/>
      <c r="L272" s="289"/>
      <c r="M272" s="289"/>
      <c r="N272" s="233"/>
      <c r="O272" s="193"/>
      <c r="P272" s="193"/>
      <c r="Q272" s="193"/>
      <c r="R272" s="193"/>
      <c r="S272" s="193"/>
    </row>
    <row r="273" spans="1:19">
      <c r="A273" s="743" t="s">
        <v>333</v>
      </c>
      <c r="B273" s="743"/>
      <c r="C273" s="743"/>
      <c r="D273" s="743"/>
      <c r="E273" s="245">
        <v>74.2</v>
      </c>
      <c r="F273" s="311">
        <f>E273</f>
        <v>74.2</v>
      </c>
      <c r="G273" s="21"/>
      <c r="H273" s="21"/>
      <c r="I273" s="319"/>
      <c r="J273" s="318"/>
      <c r="K273" s="320"/>
      <c r="L273" s="320"/>
      <c r="M273" s="320"/>
      <c r="N273" s="193"/>
      <c r="O273" s="193"/>
      <c r="P273" s="193"/>
      <c r="Q273" s="193"/>
      <c r="R273" s="193"/>
      <c r="S273" s="193"/>
    </row>
    <row r="274" spans="1:19">
      <c r="A274" s="743" t="s">
        <v>334</v>
      </c>
      <c r="B274" s="743"/>
      <c r="C274" s="743"/>
      <c r="D274" s="743"/>
      <c r="E274" s="245">
        <f>E270+E271+E272+E273</f>
        <v>15438.347500000002</v>
      </c>
      <c r="F274" s="311">
        <f>F270+F271+F272+F273</f>
        <v>12723.300000000003</v>
      </c>
      <c r="G274" s="21"/>
      <c r="H274" s="21"/>
      <c r="I274" s="319"/>
      <c r="J274" s="318"/>
      <c r="K274" s="320"/>
      <c r="L274" s="320"/>
      <c r="M274" s="320"/>
      <c r="N274" s="193"/>
      <c r="O274" s="193"/>
      <c r="P274" s="193"/>
      <c r="Q274" s="193"/>
      <c r="R274" s="193"/>
      <c r="S274" s="193"/>
    </row>
    <row r="275" spans="1:19">
      <c r="A275" s="744" t="s">
        <v>335</v>
      </c>
      <c r="B275" s="744"/>
      <c r="C275" s="744"/>
      <c r="D275" s="744"/>
      <c r="E275" s="306">
        <f>E274/12</f>
        <v>1286.5289583333335</v>
      </c>
      <c r="F275" s="311">
        <f>F274/12</f>
        <v>1060.2750000000003</v>
      </c>
      <c r="G275" s="270"/>
      <c r="H275" s="21"/>
      <c r="I275" s="319"/>
      <c r="J275" s="318"/>
      <c r="K275" s="320"/>
      <c r="L275" s="320"/>
      <c r="M275" s="320"/>
      <c r="N275" s="193"/>
      <c r="O275" s="193"/>
      <c r="P275" s="193"/>
      <c r="Q275" s="193"/>
      <c r="R275" s="193"/>
      <c r="S275" s="193"/>
    </row>
    <row r="276" spans="1:19">
      <c r="A276" s="744" t="s">
        <v>336</v>
      </c>
      <c r="B276" s="744"/>
      <c r="C276" s="744"/>
      <c r="D276" s="744"/>
      <c r="E276" s="321">
        <f>E275*E170</f>
        <v>5146.1158333333342</v>
      </c>
      <c r="F276" s="136">
        <f>F275</f>
        <v>1060.2750000000003</v>
      </c>
      <c r="G276" s="264">
        <f>E276+F276</f>
        <v>6206.3908333333347</v>
      </c>
      <c r="H276" s="21"/>
      <c r="I276" s="318"/>
      <c r="J276" s="318"/>
      <c r="K276" s="320"/>
      <c r="L276" s="320"/>
      <c r="M276" s="320"/>
      <c r="N276" s="193"/>
      <c r="O276" s="193"/>
      <c r="P276" s="193"/>
      <c r="Q276" s="193"/>
      <c r="R276" s="193"/>
      <c r="S276" s="193"/>
    </row>
    <row r="277" spans="1:19">
      <c r="A277" s="322"/>
      <c r="B277" s="322"/>
      <c r="C277" s="322"/>
      <c r="D277" s="322"/>
      <c r="E277" s="323"/>
      <c r="F277" s="70"/>
      <c r="G277" s="21"/>
      <c r="H277" s="21"/>
      <c r="I277" s="318"/>
      <c r="J277" s="318"/>
      <c r="K277" s="320"/>
      <c r="L277" s="320"/>
      <c r="M277" s="320"/>
      <c r="N277" s="193"/>
      <c r="O277" s="193"/>
      <c r="P277" s="193"/>
      <c r="Q277" s="193"/>
      <c r="R277" s="193"/>
      <c r="S277" s="193"/>
    </row>
    <row r="278" spans="1:19">
      <c r="A278" s="1" t="s">
        <v>337</v>
      </c>
      <c r="B278" s="21"/>
      <c r="C278" s="21"/>
      <c r="D278" s="21"/>
      <c r="E278" s="734">
        <f>F287+F293</f>
        <v>27253.08</v>
      </c>
      <c r="F278" s="734"/>
      <c r="G278" s="21"/>
      <c r="H278" s="21"/>
      <c r="I278" s="22"/>
      <c r="J278" s="22"/>
      <c r="K278" s="22"/>
      <c r="L278" s="22"/>
      <c r="M278" s="22"/>
      <c r="N278" s="22"/>
    </row>
    <row r="279" spans="1:19">
      <c r="A279" s="21" t="s">
        <v>338</v>
      </c>
      <c r="B279" s="21"/>
      <c r="C279" s="21"/>
      <c r="D279" s="21"/>
      <c r="E279" s="249"/>
      <c r="F279" s="249"/>
      <c r="G279" s="21"/>
      <c r="H279" s="21"/>
      <c r="I279" s="22"/>
      <c r="J279" s="22"/>
      <c r="K279" s="22"/>
      <c r="L279" s="22"/>
      <c r="M279" s="22"/>
      <c r="N279" s="22"/>
    </row>
    <row r="280" spans="1:19">
      <c r="A280" s="21" t="s">
        <v>339</v>
      </c>
      <c r="B280" s="21"/>
      <c r="C280" s="21"/>
      <c r="D280" s="21"/>
      <c r="E280" s="249"/>
      <c r="F280" s="249"/>
      <c r="G280" s="21"/>
      <c r="H280" s="21"/>
      <c r="I280" s="22"/>
      <c r="J280" s="22"/>
      <c r="K280" s="22"/>
      <c r="L280" s="22"/>
      <c r="M280" s="22"/>
      <c r="N280" s="22"/>
    </row>
    <row r="281" spans="1:19">
      <c r="A281" s="324" t="s">
        <v>340</v>
      </c>
      <c r="B281" s="21"/>
      <c r="C281" s="21"/>
      <c r="D281" s="21"/>
      <c r="E281" s="21"/>
      <c r="F281" s="21"/>
      <c r="G281" s="21"/>
      <c r="H281" s="21"/>
      <c r="I281" s="22"/>
      <c r="J281" s="22"/>
      <c r="K281" s="22"/>
      <c r="L281" s="22"/>
      <c r="M281" s="22"/>
      <c r="N281" s="22"/>
    </row>
    <row r="282" spans="1:19">
      <c r="A282" s="679" t="s">
        <v>341</v>
      </c>
      <c r="B282" s="679"/>
      <c r="C282" s="679"/>
      <c r="D282" s="679"/>
      <c r="E282" s="679"/>
      <c r="F282" s="325">
        <f>E169</f>
        <v>193788.5</v>
      </c>
      <c r="G282" s="21"/>
      <c r="H282" s="21"/>
      <c r="I282" s="22"/>
      <c r="J282" s="22"/>
      <c r="K282" s="22"/>
      <c r="L282" s="22"/>
      <c r="M282" s="22"/>
      <c r="N282" s="22"/>
    </row>
    <row r="283" spans="1:19" s="193" customFormat="1" ht="15" customHeight="1">
      <c r="A283" s="659" t="s">
        <v>342</v>
      </c>
      <c r="B283" s="659"/>
      <c r="C283" s="659"/>
      <c r="D283" s="659"/>
      <c r="E283" s="659"/>
      <c r="F283" s="326">
        <f>F282*0.2</f>
        <v>38757.700000000004</v>
      </c>
      <c r="G283" s="156"/>
      <c r="H283" s="327"/>
      <c r="I283" s="320"/>
      <c r="J283" s="320"/>
      <c r="K283" s="320"/>
      <c r="L283" s="320"/>
      <c r="M283" s="320"/>
      <c r="N283" s="320"/>
    </row>
    <row r="284" spans="1:19">
      <c r="A284" s="679" t="s">
        <v>343</v>
      </c>
      <c r="B284" s="679"/>
      <c r="C284" s="679"/>
      <c r="D284" s="679"/>
      <c r="E284" s="679"/>
      <c r="F284" s="88">
        <v>40</v>
      </c>
      <c r="G284" s="21"/>
      <c r="H284" s="21"/>
      <c r="I284" s="22"/>
      <c r="J284" s="22"/>
      <c r="K284" s="22"/>
      <c r="L284" s="22"/>
      <c r="M284" s="22"/>
      <c r="N284" s="22"/>
    </row>
    <row r="285" spans="1:19">
      <c r="A285" s="679" t="s">
        <v>344</v>
      </c>
      <c r="B285" s="679"/>
      <c r="C285" s="679"/>
      <c r="D285" s="679"/>
      <c r="E285" s="679"/>
      <c r="F285" s="266">
        <f>0.2*1.5</f>
        <v>0.30000000000000004</v>
      </c>
      <c r="G285" s="294" t="s">
        <v>345</v>
      </c>
      <c r="H285" s="21"/>
      <c r="I285" s="22"/>
      <c r="J285" s="22"/>
      <c r="K285" s="22"/>
      <c r="L285" s="22"/>
      <c r="M285" s="22"/>
      <c r="N285" s="22"/>
    </row>
    <row r="286" spans="1:19">
      <c r="A286" s="662" t="s">
        <v>346</v>
      </c>
      <c r="B286" s="662"/>
      <c r="C286" s="662"/>
      <c r="D286" s="662"/>
      <c r="E286" s="662"/>
      <c r="F286" s="328">
        <f>(F282*0.8)/40</f>
        <v>3875.7700000000004</v>
      </c>
      <c r="G286" s="21"/>
      <c r="H286" s="21"/>
      <c r="I286" s="22"/>
      <c r="J286" s="22"/>
      <c r="K286" s="22"/>
      <c r="L286" s="22"/>
      <c r="M286" s="22"/>
      <c r="N286" s="22"/>
    </row>
    <row r="287" spans="1:19">
      <c r="A287" s="662" t="s">
        <v>347</v>
      </c>
      <c r="B287" s="662"/>
      <c r="C287" s="662"/>
      <c r="D287" s="662"/>
      <c r="E287" s="662"/>
      <c r="F287" s="328">
        <f>F286*E170</f>
        <v>15503.080000000002</v>
      </c>
      <c r="G287" s="21"/>
      <c r="H287" s="21"/>
      <c r="I287" s="22"/>
      <c r="J287" s="22"/>
      <c r="K287" s="22"/>
      <c r="L287" s="22"/>
      <c r="M287" s="22"/>
      <c r="N287" s="22"/>
    </row>
    <row r="288" spans="1:19">
      <c r="A288" s="259"/>
      <c r="B288" s="259"/>
      <c r="C288" s="259"/>
      <c r="D288" s="259"/>
      <c r="E288" s="259"/>
      <c r="F288" s="329"/>
      <c r="G288" s="21"/>
      <c r="H288" s="21"/>
      <c r="I288" s="22"/>
      <c r="J288" s="22"/>
      <c r="K288" s="22"/>
      <c r="L288" s="22"/>
      <c r="M288" s="22"/>
      <c r="N288" s="22"/>
    </row>
    <row r="289" spans="1:14">
      <c r="A289" s="679" t="s">
        <v>348</v>
      </c>
      <c r="B289" s="679"/>
      <c r="C289" s="679"/>
      <c r="D289" s="679"/>
      <c r="E289" s="679"/>
      <c r="F289" s="241">
        <f>E168</f>
        <v>117500</v>
      </c>
      <c r="G289" s="21"/>
      <c r="H289" s="21"/>
      <c r="I289" s="22"/>
      <c r="J289" s="22"/>
      <c r="K289" s="22"/>
      <c r="L289" s="22"/>
      <c r="M289" s="22"/>
      <c r="N289" s="22"/>
    </row>
    <row r="290" spans="1:14" ht="15" customHeight="1">
      <c r="A290" s="659" t="s">
        <v>349</v>
      </c>
      <c r="B290" s="659"/>
      <c r="C290" s="659"/>
      <c r="D290" s="659"/>
      <c r="E290" s="659"/>
      <c r="F290" s="241">
        <f>0</f>
        <v>0</v>
      </c>
      <c r="G290" s="270"/>
      <c r="H290" s="21"/>
      <c r="I290" s="22"/>
      <c r="J290" s="22"/>
      <c r="K290" s="22"/>
      <c r="L290" s="22"/>
      <c r="M290" s="22"/>
      <c r="N290" s="22"/>
    </row>
    <row r="291" spans="1:14">
      <c r="A291" s="679" t="s">
        <v>350</v>
      </c>
      <c r="B291" s="679"/>
      <c r="C291" s="679"/>
      <c r="D291" s="679"/>
      <c r="E291" s="679"/>
      <c r="F291" s="330">
        <v>40</v>
      </c>
      <c r="G291" s="21"/>
      <c r="H291" s="21"/>
      <c r="I291" s="22"/>
      <c r="J291" s="22"/>
      <c r="K291" s="22"/>
      <c r="L291" s="22"/>
      <c r="M291" s="22"/>
      <c r="N291" s="22"/>
    </row>
    <row r="292" spans="1:14">
      <c r="A292" s="662" t="s">
        <v>351</v>
      </c>
      <c r="B292" s="662"/>
      <c r="C292" s="662"/>
      <c r="D292" s="662"/>
      <c r="E292" s="662"/>
      <c r="F292" s="264">
        <f>F289/F291</f>
        <v>2937.5</v>
      </c>
      <c r="G292" s="21"/>
      <c r="H292" s="21"/>
      <c r="I292" s="22"/>
      <c r="J292" s="22"/>
      <c r="K292" s="22"/>
      <c r="L292" s="22"/>
      <c r="M292" s="22"/>
      <c r="N292" s="22"/>
    </row>
    <row r="293" spans="1:14">
      <c r="A293" s="662" t="s">
        <v>352</v>
      </c>
      <c r="B293" s="662"/>
      <c r="C293" s="662"/>
      <c r="D293" s="662"/>
      <c r="E293" s="662"/>
      <c r="F293" s="264">
        <f>F292*E170</f>
        <v>11750</v>
      </c>
      <c r="G293" s="21"/>
      <c r="H293" s="21"/>
      <c r="I293" s="22"/>
      <c r="J293" s="22"/>
      <c r="K293" s="22"/>
      <c r="L293" s="22"/>
      <c r="M293" s="22"/>
      <c r="N293" s="22"/>
    </row>
    <row r="294" spans="1:14">
      <c r="A294" s="259"/>
      <c r="B294" s="259"/>
      <c r="C294" s="259"/>
      <c r="D294" s="259"/>
      <c r="E294" s="259"/>
      <c r="F294" s="331"/>
      <c r="G294" s="21"/>
      <c r="H294" s="21"/>
      <c r="I294" s="22"/>
      <c r="J294" s="22"/>
      <c r="K294" s="22"/>
      <c r="L294" s="22"/>
      <c r="M294" s="22"/>
      <c r="N294" s="22"/>
    </row>
    <row r="295" spans="1:14" ht="24.95" customHeight="1">
      <c r="A295" s="745" t="s">
        <v>353</v>
      </c>
      <c r="B295" s="745"/>
      <c r="C295" s="745"/>
      <c r="D295" s="745"/>
      <c r="E295" s="745"/>
      <c r="F295" s="745"/>
      <c r="G295" s="745"/>
      <c r="H295" s="21"/>
      <c r="I295" s="22"/>
      <c r="J295" s="22"/>
      <c r="K295" s="22"/>
      <c r="L295" s="22"/>
      <c r="M295" s="22"/>
      <c r="N295" s="22"/>
    </row>
    <row r="296" spans="1:14" ht="15" customHeight="1">
      <c r="A296" s="332"/>
      <c r="B296" s="332"/>
      <c r="C296" s="332"/>
      <c r="D296" s="332"/>
      <c r="E296" s="332"/>
      <c r="F296" s="332"/>
      <c r="G296" s="332"/>
      <c r="H296" s="21"/>
      <c r="I296" s="22"/>
      <c r="J296" s="22"/>
      <c r="K296" s="22"/>
      <c r="L296" s="22"/>
      <c r="M296" s="22"/>
      <c r="N296" s="22"/>
    </row>
    <row r="297" spans="1:14" ht="15" customHeight="1">
      <c r="A297" s="1" t="s">
        <v>354</v>
      </c>
      <c r="B297" s="21"/>
      <c r="C297" s="21"/>
      <c r="D297" s="21"/>
      <c r="E297" s="746">
        <f>E317</f>
        <v>1494.4340800800796</v>
      </c>
      <c r="F297" s="746"/>
      <c r="G297" s="21"/>
      <c r="H297" s="21"/>
      <c r="I297" s="22"/>
      <c r="J297" s="22"/>
      <c r="K297" s="22"/>
      <c r="L297" s="22"/>
      <c r="M297" s="22"/>
      <c r="N297" s="22"/>
    </row>
    <row r="298" spans="1:14" ht="15" customHeight="1">
      <c r="A298" s="1"/>
      <c r="B298" s="21"/>
      <c r="C298" s="21"/>
      <c r="D298" s="21"/>
      <c r="E298" s="317"/>
      <c r="F298" s="113"/>
      <c r="G298" s="21"/>
      <c r="H298" s="21"/>
      <c r="I298" s="22"/>
      <c r="J298" s="22"/>
      <c r="K298" s="22"/>
      <c r="L298" s="22"/>
      <c r="M298" s="22"/>
      <c r="N298" s="22"/>
    </row>
    <row r="299" spans="1:14" ht="15" customHeight="1">
      <c r="A299" s="324" t="s">
        <v>355</v>
      </c>
      <c r="B299" s="21"/>
      <c r="C299" s="21"/>
      <c r="D299" s="21"/>
      <c r="E299" s="21"/>
      <c r="F299" s="21"/>
      <c r="G299" s="21"/>
      <c r="H299" s="21"/>
      <c r="I299" s="22"/>
      <c r="J299" s="22"/>
      <c r="K299" s="22"/>
      <c r="L299" s="22"/>
      <c r="M299" s="22"/>
      <c r="N299" s="22"/>
    </row>
    <row r="300" spans="1:14" ht="15" customHeight="1">
      <c r="A300" s="21" t="s">
        <v>356</v>
      </c>
      <c r="B300" s="21"/>
      <c r="C300" s="21"/>
      <c r="D300" s="21"/>
      <c r="E300" s="21"/>
      <c r="F300" s="21"/>
      <c r="G300" s="21"/>
      <c r="H300" s="21"/>
      <c r="I300" s="22"/>
      <c r="J300" s="22"/>
      <c r="K300" s="22"/>
      <c r="L300" s="22"/>
      <c r="M300" s="22"/>
      <c r="N300" s="22"/>
    </row>
    <row r="301" spans="1:14" ht="24.95" customHeight="1">
      <c r="A301" s="745" t="s">
        <v>357</v>
      </c>
      <c r="B301" s="745"/>
      <c r="C301" s="745"/>
      <c r="D301" s="745"/>
      <c r="E301" s="745"/>
      <c r="F301" s="745"/>
      <c r="G301" s="745"/>
      <c r="H301" s="21"/>
      <c r="I301" s="22"/>
      <c r="J301" s="22"/>
      <c r="K301" s="22"/>
      <c r="L301" s="22"/>
      <c r="M301" s="22"/>
      <c r="N301" s="22"/>
    </row>
    <row r="302" spans="1:14" ht="15" customHeight="1">
      <c r="A302" s="21"/>
      <c r="B302" s="21"/>
      <c r="C302" s="21"/>
      <c r="D302" s="21"/>
      <c r="E302" s="21"/>
      <c r="F302" s="21"/>
      <c r="G302" s="21"/>
      <c r="H302" s="21"/>
      <c r="I302" s="22"/>
      <c r="J302" s="22"/>
      <c r="K302" s="22"/>
      <c r="L302" s="22"/>
      <c r="M302" s="22"/>
      <c r="N302" s="22"/>
    </row>
    <row r="303" spans="1:14" ht="15" customHeight="1">
      <c r="A303" s="333" t="s">
        <v>358</v>
      </c>
      <c r="B303" s="21"/>
      <c r="C303" s="21"/>
      <c r="D303" s="21"/>
      <c r="E303" s="21"/>
      <c r="F303" s="21"/>
      <c r="G303" s="21"/>
      <c r="H303" s="21"/>
      <c r="I303" s="22"/>
      <c r="J303" s="22"/>
      <c r="K303" s="22"/>
      <c r="L303" s="22"/>
      <c r="M303" s="22"/>
      <c r="N303" s="22"/>
    </row>
    <row r="304" spans="1:14" ht="15" customHeight="1">
      <c r="A304" s="333" t="s">
        <v>359</v>
      </c>
      <c r="B304" s="21"/>
      <c r="C304" s="21"/>
      <c r="D304" s="21"/>
      <c r="E304" s="21"/>
      <c r="F304" s="21"/>
      <c r="G304" s="21"/>
      <c r="H304" s="21"/>
      <c r="I304" s="22"/>
      <c r="J304" s="22"/>
      <c r="K304" s="22"/>
      <c r="L304" s="22"/>
      <c r="M304" s="22"/>
      <c r="N304" s="22"/>
    </row>
    <row r="305" spans="1:15" ht="15" customHeight="1">
      <c r="A305" s="333" t="s">
        <v>360</v>
      </c>
      <c r="B305" s="21"/>
      <c r="C305" s="21"/>
      <c r="D305" s="21"/>
      <c r="E305" s="21"/>
      <c r="F305" s="21"/>
      <c r="G305" s="21"/>
      <c r="H305" s="21"/>
      <c r="I305" s="22"/>
      <c r="J305" s="22"/>
      <c r="K305" s="22"/>
      <c r="L305" s="22"/>
      <c r="M305" s="22"/>
      <c r="N305" s="22"/>
    </row>
    <row r="306" spans="1:15" ht="15" customHeight="1">
      <c r="A306" s="333" t="s">
        <v>361</v>
      </c>
      <c r="B306" s="21"/>
      <c r="C306" s="21"/>
      <c r="D306" s="21"/>
      <c r="E306" s="21"/>
      <c r="F306" s="21"/>
      <c r="G306" s="21"/>
      <c r="H306" s="21"/>
      <c r="I306" s="22"/>
      <c r="J306" s="22"/>
      <c r="K306" s="22"/>
      <c r="L306" s="22"/>
      <c r="M306" s="22"/>
      <c r="N306" s="22"/>
    </row>
    <row r="307" spans="1:15" ht="15" customHeight="1">
      <c r="A307" s="333"/>
      <c r="B307" s="21"/>
      <c r="C307" s="21"/>
      <c r="D307" s="21"/>
      <c r="E307" s="21"/>
      <c r="F307" s="21"/>
      <c r="G307" s="21"/>
      <c r="H307" s="21"/>
      <c r="I307" s="22"/>
      <c r="J307" s="22"/>
      <c r="K307" s="22"/>
      <c r="L307" s="22"/>
      <c r="M307" s="22"/>
      <c r="N307" s="22"/>
    </row>
    <row r="308" spans="1:15" ht="15" customHeight="1">
      <c r="A308" s="334" t="s">
        <v>362</v>
      </c>
      <c r="B308" s="335">
        <f>(2+(3.33-1)*(1+20/100))/(2*3.33)</f>
        <v>0.72012012012012006</v>
      </c>
      <c r="C308" s="21"/>
      <c r="D308" s="21"/>
      <c r="E308" s="21"/>
      <c r="F308" s="21"/>
      <c r="G308" s="21"/>
      <c r="H308" s="21"/>
      <c r="I308" s="22"/>
      <c r="J308" s="22"/>
      <c r="K308" s="22"/>
      <c r="L308" s="22"/>
      <c r="M308" s="22"/>
      <c r="N308" s="22"/>
    </row>
    <row r="309" spans="1:15" ht="15" customHeight="1">
      <c r="A309" s="631" t="s">
        <v>740</v>
      </c>
      <c r="B309" s="1"/>
      <c r="C309" s="1"/>
      <c r="D309" s="336"/>
      <c r="E309" s="336"/>
      <c r="F309" s="336"/>
      <c r="G309" s="336"/>
      <c r="H309" s="21"/>
      <c r="I309" s="22"/>
      <c r="J309" s="22"/>
      <c r="K309" s="22"/>
      <c r="L309" s="22"/>
      <c r="M309" s="22"/>
      <c r="N309" s="22"/>
    </row>
    <row r="310" spans="1:15" ht="15" customHeight="1">
      <c r="A310" s="337" t="s">
        <v>363</v>
      </c>
      <c r="B310" s="21"/>
      <c r="C310" s="21"/>
      <c r="D310" s="21"/>
      <c r="E310" s="21"/>
      <c r="F310" s="21"/>
      <c r="G310" s="21"/>
      <c r="H310" s="21"/>
      <c r="I310" s="22"/>
      <c r="J310" s="22"/>
      <c r="K310" s="22"/>
      <c r="L310" s="22"/>
      <c r="M310" s="22"/>
      <c r="N310" s="22"/>
    </row>
    <row r="311" spans="1:15" ht="15" customHeight="1">
      <c r="A311" s="26" t="s">
        <v>364</v>
      </c>
      <c r="B311" s="268">
        <f>E197*B308*G311/100</f>
        <v>373.60852002001991</v>
      </c>
      <c r="C311" s="21"/>
      <c r="D311" s="21"/>
      <c r="E311" s="21"/>
      <c r="F311" s="21"/>
      <c r="G311" s="173">
        <f>2/12</f>
        <v>0.16666666666666666</v>
      </c>
      <c r="H311" s="21"/>
      <c r="I311" s="22"/>
      <c r="J311" s="22"/>
      <c r="K311" s="22"/>
      <c r="L311" s="22"/>
      <c r="M311" s="22"/>
      <c r="N311" s="22"/>
    </row>
    <row r="312" spans="1:15" ht="15" customHeight="1">
      <c r="A312" s="338"/>
      <c r="B312" s="22"/>
      <c r="C312" s="22"/>
      <c r="D312" s="22"/>
      <c r="E312" s="22"/>
      <c r="F312" s="22"/>
      <c r="G312" s="22"/>
      <c r="H312" s="21"/>
      <c r="I312" s="22"/>
      <c r="J312" s="22"/>
      <c r="K312" s="22"/>
      <c r="L312" s="22"/>
      <c r="M312" s="22"/>
      <c r="N312" s="22"/>
    </row>
    <row r="313" spans="1:15" ht="15" customHeight="1">
      <c r="A313" s="582" t="s">
        <v>365</v>
      </c>
      <c r="B313" s="582"/>
      <c r="C313" s="582"/>
      <c r="D313" s="582"/>
      <c r="E313" s="582"/>
      <c r="F313" s="582"/>
      <c r="G313" s="582"/>
      <c r="H313" s="272"/>
      <c r="I313" s="22"/>
      <c r="J313" s="22"/>
      <c r="K313" s="22"/>
      <c r="L313" s="22"/>
      <c r="M313" s="22"/>
      <c r="N313" s="22"/>
    </row>
    <row r="314" spans="1:15" ht="15" customHeight="1">
      <c r="A314" s="339" t="s">
        <v>364</v>
      </c>
      <c r="B314" s="268">
        <f>B311*E170</f>
        <v>1494.4340800800796</v>
      </c>
      <c r="C314" s="210"/>
      <c r="D314" s="22"/>
      <c r="E314" s="22"/>
      <c r="F314" s="22"/>
      <c r="G314" s="22"/>
      <c r="H314" s="21"/>
      <c r="I314" s="22"/>
      <c r="J314" s="22"/>
      <c r="K314" s="22"/>
      <c r="L314" s="22"/>
      <c r="M314" s="22"/>
      <c r="N314" s="22"/>
    </row>
    <row r="315" spans="1:15" ht="15" customHeight="1">
      <c r="A315" s="270"/>
      <c r="B315" s="242"/>
      <c r="C315" s="242"/>
      <c r="D315" s="21"/>
      <c r="E315" s="21"/>
      <c r="F315" s="21"/>
      <c r="G315" s="21"/>
      <c r="H315" s="21"/>
      <c r="I315" s="22"/>
      <c r="J315" s="22"/>
      <c r="K315" s="22"/>
      <c r="L315" s="22"/>
      <c r="M315" s="22"/>
      <c r="N315" s="22"/>
    </row>
    <row r="316" spans="1:15" ht="15" customHeight="1">
      <c r="A316" s="662" t="s">
        <v>366</v>
      </c>
      <c r="B316" s="662"/>
      <c r="C316" s="662"/>
      <c r="D316" s="662"/>
      <c r="E316" s="617">
        <f>B311</f>
        <v>373.60852002001991</v>
      </c>
      <c r="F316" s="21"/>
      <c r="G316" s="21"/>
      <c r="H316" s="21"/>
      <c r="I316" s="22"/>
      <c r="J316" s="22"/>
      <c r="K316" s="22"/>
      <c r="L316" s="22"/>
      <c r="M316" s="22"/>
      <c r="N316" s="22"/>
    </row>
    <row r="317" spans="1:15" ht="15" customHeight="1">
      <c r="A317" s="662" t="s">
        <v>367</v>
      </c>
      <c r="B317" s="662"/>
      <c r="C317" s="662"/>
      <c r="D317" s="662"/>
      <c r="E317" s="617">
        <f>B314</f>
        <v>1494.4340800800796</v>
      </c>
      <c r="F317" s="270"/>
      <c r="G317" s="21"/>
      <c r="H317" s="21"/>
      <c r="I317" s="22"/>
      <c r="K317" s="341"/>
      <c r="L317" s="341"/>
      <c r="M317" s="341"/>
      <c r="N317" s="341"/>
      <c r="O317" s="342"/>
    </row>
    <row r="318" spans="1:15" ht="15" customHeight="1">
      <c r="A318" s="343"/>
      <c r="B318" s="343"/>
      <c r="C318" s="343"/>
      <c r="D318" s="343"/>
      <c r="E318" s="344"/>
      <c r="F318" s="345"/>
      <c r="G318" s="22"/>
      <c r="H318" s="21"/>
      <c r="I318" s="22"/>
      <c r="K318" s="341"/>
      <c r="L318" s="341"/>
      <c r="M318" s="341"/>
      <c r="N318" s="341"/>
      <c r="O318" s="342"/>
    </row>
    <row r="319" spans="1:15" ht="14.25" customHeight="1">
      <c r="A319" s="1" t="s">
        <v>368</v>
      </c>
      <c r="B319" s="21"/>
      <c r="C319" s="21"/>
      <c r="D319" s="21"/>
      <c r="E319" s="21"/>
      <c r="F319" s="677">
        <f>F324</f>
        <v>675</v>
      </c>
      <c r="G319" s="677"/>
      <c r="H319" s="21"/>
      <c r="I319" s="22"/>
      <c r="J319" s="22"/>
      <c r="K319" s="22"/>
      <c r="L319" s="22"/>
      <c r="M319" s="22"/>
      <c r="N319" s="22"/>
    </row>
    <row r="320" spans="1:15" ht="14.25" customHeight="1">
      <c r="A320" s="1"/>
      <c r="B320" s="21"/>
      <c r="C320" s="21"/>
      <c r="D320" s="21"/>
      <c r="E320" s="21"/>
      <c r="F320" s="21"/>
      <c r="G320" s="21"/>
      <c r="H320" s="21"/>
      <c r="I320" s="22"/>
      <c r="J320" s="22"/>
      <c r="K320" s="22"/>
      <c r="L320" s="22"/>
      <c r="M320" s="22"/>
      <c r="N320" s="22"/>
    </row>
    <row r="321" spans="1:14" ht="14.25" customHeight="1">
      <c r="A321" s="725" t="s">
        <v>369</v>
      </c>
      <c r="B321" s="725"/>
      <c r="C321" s="725"/>
      <c r="D321" s="725"/>
      <c r="E321" s="725"/>
      <c r="F321" s="245">
        <v>180</v>
      </c>
      <c r="G321" s="21" t="s">
        <v>370</v>
      </c>
      <c r="H321" s="21"/>
      <c r="I321" s="22"/>
      <c r="J321" s="22"/>
      <c r="K321" s="22"/>
      <c r="L321" s="22"/>
      <c r="M321" s="22"/>
      <c r="N321" s="22"/>
    </row>
    <row r="322" spans="1:14" ht="14.25" customHeight="1">
      <c r="A322" s="679" t="s">
        <v>371</v>
      </c>
      <c r="B322" s="679"/>
      <c r="C322" s="679"/>
      <c r="D322" s="679"/>
      <c r="E322" s="679"/>
      <c r="F322" s="245">
        <v>60</v>
      </c>
      <c r="G322" s="21"/>
      <c r="H322" s="21"/>
      <c r="I322" s="22"/>
      <c r="J322" s="22"/>
      <c r="K322" s="22"/>
      <c r="L322" s="22"/>
      <c r="M322" s="22"/>
      <c r="N322" s="22"/>
    </row>
    <row r="323" spans="1:14" ht="14.25" customHeight="1">
      <c r="A323" s="725" t="s">
        <v>372</v>
      </c>
      <c r="B323" s="725"/>
      <c r="C323" s="725"/>
      <c r="D323" s="725"/>
      <c r="E323" s="725"/>
      <c r="F323" s="306">
        <f>F322+F321/12</f>
        <v>75</v>
      </c>
      <c r="G323" s="21"/>
      <c r="H323" s="21"/>
      <c r="I323" s="22"/>
      <c r="J323" s="22"/>
      <c r="K323" s="22"/>
      <c r="L323" s="22"/>
      <c r="M323" s="22"/>
      <c r="N323" s="22"/>
    </row>
    <row r="324" spans="1:14" ht="13.5" customHeight="1">
      <c r="A324" s="662" t="s">
        <v>373</v>
      </c>
      <c r="B324" s="662"/>
      <c r="C324" s="662"/>
      <c r="D324" s="662"/>
      <c r="E324" s="662"/>
      <c r="F324" s="307">
        <f>F323*H137</f>
        <v>675</v>
      </c>
      <c r="G324" s="270"/>
      <c r="H324" s="21"/>
      <c r="I324" s="22"/>
      <c r="J324" s="22"/>
      <c r="K324" s="22"/>
      <c r="L324" s="22"/>
      <c r="M324" s="22"/>
      <c r="N324" s="22"/>
    </row>
    <row r="325" spans="1:14" ht="13.5" customHeight="1">
      <c r="A325" s="259"/>
      <c r="B325" s="259"/>
      <c r="C325" s="259"/>
      <c r="D325" s="259"/>
      <c r="E325" s="259"/>
      <c r="F325" s="260"/>
      <c r="G325" s="270"/>
      <c r="H325" s="21"/>
      <c r="I325" s="22"/>
      <c r="J325" s="22"/>
      <c r="K325" s="22"/>
      <c r="L325" s="22"/>
      <c r="M325" s="22"/>
      <c r="N325" s="22"/>
    </row>
    <row r="326" spans="1:14">
      <c r="A326" s="747" t="s">
        <v>374</v>
      </c>
      <c r="B326" s="747"/>
      <c r="C326" s="747"/>
      <c r="D326" s="747"/>
      <c r="E326" s="747"/>
      <c r="F326" s="747"/>
      <c r="G326" s="747"/>
      <c r="H326" s="747"/>
      <c r="I326" s="22"/>
      <c r="J326" s="22"/>
      <c r="K326" s="22"/>
      <c r="L326" s="22"/>
      <c r="M326" s="22"/>
      <c r="N326" s="22"/>
    </row>
    <row r="327" spans="1:14">
      <c r="A327" s="156"/>
      <c r="B327" s="346"/>
      <c r="C327" s="346"/>
      <c r="D327" s="346"/>
      <c r="E327" s="346"/>
      <c r="F327" s="346"/>
      <c r="G327" s="156"/>
      <c r="H327" s="156"/>
      <c r="I327" s="22"/>
      <c r="J327" s="22"/>
      <c r="K327" s="22"/>
      <c r="L327" s="22"/>
      <c r="M327" s="22"/>
      <c r="N327" s="22"/>
    </row>
    <row r="328" spans="1:14">
      <c r="A328" s="748" t="s">
        <v>249</v>
      </c>
      <c r="B328" s="748"/>
      <c r="C328" s="748"/>
      <c r="D328" s="748"/>
      <c r="E328" s="347" t="s">
        <v>375</v>
      </c>
      <c r="F328" s="234"/>
      <c r="G328" s="234"/>
      <c r="H328" s="221"/>
      <c r="I328" s="131"/>
      <c r="J328" s="22"/>
      <c r="K328" s="22"/>
      <c r="L328" s="22"/>
      <c r="M328" s="22"/>
      <c r="N328" s="22"/>
    </row>
    <row r="329" spans="1:14" ht="15" customHeight="1">
      <c r="A329" s="659" t="s">
        <v>254</v>
      </c>
      <c r="B329" s="659"/>
      <c r="C329" s="659"/>
      <c r="D329" s="659"/>
      <c r="E329" s="147">
        <f>E348</f>
        <v>1580.5125</v>
      </c>
      <c r="F329" s="348"/>
      <c r="G329" s="349"/>
      <c r="H329" s="213"/>
      <c r="I329" s="131"/>
      <c r="J329" s="22"/>
      <c r="K329" s="22"/>
      <c r="L329" s="22"/>
      <c r="M329" s="22"/>
      <c r="N329" s="22"/>
    </row>
    <row r="330" spans="1:14" ht="15" customHeight="1">
      <c r="A330" s="659" t="s">
        <v>255</v>
      </c>
      <c r="B330" s="659"/>
      <c r="C330" s="659"/>
      <c r="D330" s="659"/>
      <c r="E330" s="147">
        <f>E356</f>
        <v>410.19</v>
      </c>
      <c r="F330" s="348"/>
      <c r="G330" s="350"/>
      <c r="H330" s="213"/>
      <c r="I330" s="131"/>
      <c r="J330" s="22"/>
      <c r="K330" s="22"/>
      <c r="L330" s="22"/>
      <c r="M330" s="22"/>
      <c r="N330" s="22"/>
    </row>
    <row r="331" spans="1:14">
      <c r="A331" s="679" t="s">
        <v>256</v>
      </c>
      <c r="B331" s="679"/>
      <c r="C331" s="679"/>
      <c r="D331" s="679"/>
      <c r="E331" s="147">
        <f>E362</f>
        <v>125.64000000000001</v>
      </c>
      <c r="F331" s="348"/>
      <c r="G331" s="350"/>
      <c r="H331" s="213"/>
      <c r="I331" s="131"/>
      <c r="J331" s="22"/>
      <c r="K331" s="22"/>
      <c r="L331" s="22"/>
      <c r="M331" s="22"/>
      <c r="N331" s="22"/>
    </row>
    <row r="332" spans="1:14">
      <c r="A332" s="679" t="s">
        <v>376</v>
      </c>
      <c r="B332" s="679"/>
      <c r="C332" s="679"/>
      <c r="D332" s="679"/>
      <c r="E332" s="351">
        <f>E372</f>
        <v>523.66999999999996</v>
      </c>
      <c r="F332" s="348"/>
      <c r="G332" s="350"/>
      <c r="H332" s="213"/>
      <c r="I332" s="131"/>
      <c r="J332" s="22"/>
      <c r="K332" s="22"/>
      <c r="L332" s="22"/>
      <c r="M332" s="22"/>
      <c r="N332" s="22"/>
    </row>
    <row r="333" spans="1:14">
      <c r="A333" s="679" t="s">
        <v>259</v>
      </c>
      <c r="B333" s="679"/>
      <c r="C333" s="679"/>
      <c r="D333" s="679"/>
      <c r="E333" s="351">
        <f>E399</f>
        <v>228.80541666666667</v>
      </c>
      <c r="F333" s="348"/>
      <c r="G333" s="350"/>
      <c r="H333" s="213"/>
      <c r="I333" s="131"/>
      <c r="J333" s="22"/>
      <c r="K333" s="22"/>
      <c r="L333" s="22"/>
      <c r="M333" s="22"/>
      <c r="N333" s="22"/>
    </row>
    <row r="334" spans="1:14">
      <c r="A334" s="679" t="s">
        <v>260</v>
      </c>
      <c r="B334" s="679"/>
      <c r="C334" s="679"/>
      <c r="D334" s="679"/>
      <c r="E334" s="351">
        <f>E407</f>
        <v>683.65000000000009</v>
      </c>
      <c r="F334" s="348"/>
      <c r="G334" s="350"/>
      <c r="H334" s="213"/>
      <c r="I334" s="131"/>
      <c r="J334" s="22"/>
      <c r="K334" s="22"/>
      <c r="L334" s="22"/>
      <c r="M334" s="22"/>
      <c r="N334" s="22"/>
    </row>
    <row r="335" spans="1:14">
      <c r="A335" s="749" t="s">
        <v>261</v>
      </c>
      <c r="B335" s="749"/>
      <c r="C335" s="749"/>
      <c r="D335" s="749"/>
      <c r="E335" s="351">
        <f>E424</f>
        <v>54.692000000000007</v>
      </c>
      <c r="F335" s="348"/>
      <c r="G335" s="350"/>
      <c r="H335" s="213"/>
      <c r="I335" s="131"/>
      <c r="J335" s="22"/>
      <c r="K335" s="22"/>
      <c r="L335" s="22"/>
      <c r="M335" s="22"/>
      <c r="N335" s="22"/>
    </row>
    <row r="336" spans="1:14">
      <c r="A336" s="750" t="s">
        <v>377</v>
      </c>
      <c r="B336" s="750"/>
      <c r="C336" s="750"/>
      <c r="D336" s="750"/>
      <c r="E336" s="352">
        <f>F430</f>
        <v>75</v>
      </c>
      <c r="F336" s="353"/>
      <c r="G336" s="350"/>
      <c r="H336" s="213"/>
      <c r="I336" s="131"/>
      <c r="J336" s="22"/>
      <c r="K336" s="22"/>
      <c r="L336" s="22"/>
      <c r="M336" s="22"/>
      <c r="N336" s="22"/>
    </row>
    <row r="337" spans="1:14">
      <c r="A337" s="751" t="s">
        <v>378</v>
      </c>
      <c r="B337" s="751"/>
      <c r="C337" s="751"/>
      <c r="D337" s="751"/>
      <c r="E337" s="354">
        <f>SUM(E329:E336)</f>
        <v>3682.159916666667</v>
      </c>
      <c r="F337" s="355"/>
      <c r="G337" s="349"/>
      <c r="H337" s="213"/>
      <c r="I337" s="131"/>
      <c r="J337" s="22"/>
      <c r="K337" s="22"/>
      <c r="L337" s="22"/>
      <c r="M337" s="22"/>
      <c r="N337" s="22"/>
    </row>
    <row r="338" spans="1:14">
      <c r="A338" s="21"/>
      <c r="B338" s="21"/>
      <c r="C338" s="21"/>
      <c r="D338" s="21"/>
      <c r="E338" s="21"/>
      <c r="F338" s="130"/>
      <c r="G338" s="213"/>
      <c r="H338" s="213"/>
      <c r="I338" s="131"/>
      <c r="J338" s="22"/>
      <c r="K338" s="22"/>
      <c r="L338" s="22"/>
      <c r="M338" s="22"/>
      <c r="N338" s="22"/>
    </row>
    <row r="339" spans="1:14">
      <c r="A339" s="156" t="s">
        <v>379</v>
      </c>
      <c r="B339" s="21"/>
      <c r="C339" s="21"/>
      <c r="D339" s="21"/>
      <c r="E339" s="21"/>
      <c r="F339" s="130"/>
      <c r="G339" s="213"/>
      <c r="H339" s="213"/>
      <c r="I339" s="131"/>
      <c r="J339" s="22"/>
      <c r="K339" s="22"/>
      <c r="L339" s="22"/>
      <c r="M339" s="22"/>
      <c r="N339" s="22"/>
    </row>
    <row r="340" spans="1:14" ht="15" customHeight="1">
      <c r="A340" s="683" t="s">
        <v>380</v>
      </c>
      <c r="B340" s="683"/>
      <c r="C340" s="683"/>
      <c r="D340" s="683"/>
      <c r="E340" s="626">
        <v>41019</v>
      </c>
      <c r="F340" s="21" t="s">
        <v>381</v>
      </c>
      <c r="G340" s="137"/>
      <c r="H340" s="137"/>
      <c r="I340" s="143"/>
      <c r="J340" s="22"/>
      <c r="K340" s="22"/>
      <c r="L340" s="22"/>
      <c r="M340" s="22"/>
      <c r="N340" s="22"/>
    </row>
    <row r="341" spans="1:14" ht="15" customHeight="1">
      <c r="A341" s="683" t="s">
        <v>268</v>
      </c>
      <c r="B341" s="683"/>
      <c r="C341" s="683"/>
      <c r="D341" s="683"/>
      <c r="E341" s="88">
        <v>2</v>
      </c>
      <c r="F341" s="21"/>
      <c r="G341" s="137"/>
      <c r="H341" s="137"/>
      <c r="I341" s="143"/>
      <c r="J341" s="22"/>
      <c r="K341" s="22"/>
      <c r="L341" s="22"/>
      <c r="M341" s="22"/>
      <c r="N341" s="22"/>
    </row>
    <row r="342" spans="1:14">
      <c r="A342" s="683" t="s">
        <v>269</v>
      </c>
      <c r="B342" s="683"/>
      <c r="C342" s="683"/>
      <c r="D342" s="683"/>
      <c r="E342" s="88">
        <v>0</v>
      </c>
      <c r="F342" s="21"/>
      <c r="G342" s="21"/>
      <c r="H342" s="21"/>
      <c r="I342" s="22"/>
      <c r="J342" s="22"/>
      <c r="K342" s="22"/>
      <c r="L342" s="22"/>
      <c r="M342" s="22"/>
      <c r="N342" s="22"/>
    </row>
    <row r="343" spans="1:14">
      <c r="A343" s="683" t="s">
        <v>382</v>
      </c>
      <c r="B343" s="683"/>
      <c r="C343" s="683"/>
      <c r="D343" s="683"/>
      <c r="E343" s="61">
        <v>2700</v>
      </c>
      <c r="F343" s="21"/>
      <c r="G343" s="21"/>
      <c r="H343" s="173"/>
      <c r="I343" s="22"/>
      <c r="J343" s="22"/>
      <c r="K343" s="22"/>
      <c r="L343" s="22"/>
      <c r="M343" s="22"/>
      <c r="N343" s="22"/>
    </row>
    <row r="344" spans="1:14">
      <c r="A344" s="115" t="s">
        <v>730</v>
      </c>
      <c r="B344" s="82"/>
      <c r="C344" s="82"/>
      <c r="D344" s="82"/>
      <c r="E344" s="357"/>
      <c r="F344" s="21"/>
      <c r="G344" s="21"/>
      <c r="H344" s="173"/>
      <c r="I344" s="22"/>
      <c r="J344" s="22"/>
      <c r="K344" s="22"/>
      <c r="L344" s="22"/>
      <c r="M344" s="22"/>
      <c r="N344" s="22"/>
    </row>
    <row r="345" spans="1:14">
      <c r="A345" s="82"/>
      <c r="B345" s="82"/>
      <c r="C345" s="82"/>
      <c r="D345" s="82"/>
      <c r="E345" s="357"/>
      <c r="F345" s="21"/>
      <c r="G345" s="21"/>
      <c r="H345" s="21"/>
      <c r="I345" s="22"/>
      <c r="J345" s="22"/>
      <c r="K345" s="22"/>
      <c r="L345" s="22"/>
      <c r="M345" s="22"/>
      <c r="N345" s="22"/>
    </row>
    <row r="346" spans="1:14" ht="24.75" customHeight="1">
      <c r="A346" s="745" t="s">
        <v>383</v>
      </c>
      <c r="B346" s="745"/>
      <c r="C346" s="745"/>
      <c r="D346" s="745"/>
      <c r="E346" s="745"/>
      <c r="F346" s="745"/>
      <c r="G346" s="745"/>
      <c r="H346" s="745"/>
      <c r="I346" s="22"/>
      <c r="J346" s="22"/>
      <c r="K346" s="22"/>
      <c r="L346" s="22"/>
      <c r="M346" s="22"/>
      <c r="N346" s="22"/>
    </row>
    <row r="347" spans="1:14" ht="15" customHeight="1">
      <c r="A347" s="332"/>
      <c r="B347" s="332"/>
      <c r="C347" s="332"/>
      <c r="D347" s="332"/>
      <c r="E347" s="332"/>
      <c r="F347" s="332"/>
      <c r="G347" s="332"/>
      <c r="H347" s="332"/>
      <c r="I347" s="22"/>
      <c r="J347" s="22"/>
      <c r="K347" s="22"/>
      <c r="L347" s="22"/>
      <c r="M347" s="22"/>
      <c r="N347" s="22"/>
    </row>
    <row r="348" spans="1:14">
      <c r="A348" s="1" t="s">
        <v>384</v>
      </c>
      <c r="B348" s="21"/>
      <c r="C348" s="21"/>
      <c r="D348" s="21"/>
      <c r="E348" s="734">
        <f>D354</f>
        <v>1580.5125</v>
      </c>
      <c r="F348" s="734"/>
      <c r="G348" s="21"/>
      <c r="H348" s="21"/>
      <c r="I348" s="22"/>
      <c r="J348" s="22"/>
      <c r="K348" s="22"/>
      <c r="L348" s="22"/>
      <c r="M348" s="22"/>
      <c r="N348" s="22"/>
    </row>
    <row r="349" spans="1:14">
      <c r="A349" s="156" t="s">
        <v>731</v>
      </c>
      <c r="B349" s="21"/>
      <c r="C349" s="21"/>
      <c r="D349" s="21"/>
      <c r="E349" s="21"/>
      <c r="F349" s="21"/>
      <c r="G349" s="21"/>
      <c r="H349" s="21"/>
      <c r="J349" s="22"/>
      <c r="K349" s="22"/>
      <c r="L349" s="22"/>
      <c r="M349" s="22"/>
      <c r="N349" s="22"/>
    </row>
    <row r="350" spans="1:14" s="193" customFormat="1">
      <c r="A350" s="156" t="s">
        <v>728</v>
      </c>
      <c r="B350" s="156"/>
      <c r="C350" s="156"/>
      <c r="D350" s="156"/>
      <c r="E350" s="156"/>
      <c r="F350" s="156"/>
      <c r="G350" s="156"/>
      <c r="H350" s="156"/>
      <c r="J350" s="320"/>
      <c r="K350" s="320"/>
      <c r="L350" s="320"/>
      <c r="M350" s="320"/>
      <c r="N350" s="320"/>
    </row>
    <row r="351" spans="1:14">
      <c r="A351" s="725" t="s">
        <v>273</v>
      </c>
      <c r="B351" s="725"/>
      <c r="C351" s="725"/>
      <c r="D351" s="627">
        <v>4.6829999999999998</v>
      </c>
      <c r="E351" s="359"/>
      <c r="F351" s="192"/>
      <c r="G351" s="21"/>
      <c r="H351" s="21"/>
      <c r="I351" s="22"/>
      <c r="J351" s="22"/>
      <c r="K351" s="22"/>
      <c r="L351" s="22"/>
      <c r="M351" s="22"/>
      <c r="N351" s="22"/>
    </row>
    <row r="352" spans="1:14">
      <c r="A352" s="725" t="s">
        <v>274</v>
      </c>
      <c r="B352" s="725"/>
      <c r="C352" s="725"/>
      <c r="D352" s="47">
        <v>8</v>
      </c>
      <c r="E352" s="360"/>
      <c r="F352" s="192"/>
      <c r="G352" s="21"/>
      <c r="H352" s="21"/>
      <c r="I352" s="22"/>
      <c r="J352" s="22"/>
      <c r="K352" s="22"/>
      <c r="L352" s="22"/>
      <c r="M352" s="22"/>
      <c r="N352" s="22"/>
    </row>
    <row r="353" spans="1:14">
      <c r="A353" s="725" t="s">
        <v>275</v>
      </c>
      <c r="B353" s="725"/>
      <c r="C353" s="725"/>
      <c r="D353" s="47">
        <f>E343/D352</f>
        <v>337.5</v>
      </c>
      <c r="E353" s="361"/>
      <c r="F353" s="192"/>
      <c r="G353" s="21"/>
      <c r="H353" s="21"/>
      <c r="I353" s="22"/>
      <c r="J353" s="22"/>
      <c r="K353" s="22"/>
      <c r="L353" s="22"/>
      <c r="M353" s="22"/>
      <c r="N353" s="22"/>
    </row>
    <row r="354" spans="1:14">
      <c r="A354" s="662" t="s">
        <v>385</v>
      </c>
      <c r="B354" s="662"/>
      <c r="C354" s="662"/>
      <c r="D354" s="252">
        <f>D353*D351</f>
        <v>1580.5125</v>
      </c>
      <c r="E354" s="331"/>
      <c r="F354" s="331"/>
      <c r="G354" s="21"/>
      <c r="H354" s="21"/>
      <c r="I354" s="22"/>
      <c r="J354" s="22"/>
      <c r="K354" s="22"/>
      <c r="L354" s="22"/>
      <c r="M354" s="22"/>
      <c r="N354" s="22"/>
    </row>
    <row r="355" spans="1:14">
      <c r="A355" s="21"/>
      <c r="B355" s="21"/>
      <c r="C355" s="21"/>
      <c r="D355" s="21"/>
      <c r="E355" s="21"/>
      <c r="F355" s="21"/>
      <c r="G355" s="21"/>
      <c r="H355" s="21"/>
      <c r="I355" s="22"/>
      <c r="J355" s="22"/>
      <c r="K355" s="22"/>
      <c r="L355" s="22"/>
      <c r="M355" s="22"/>
      <c r="N355" s="22"/>
    </row>
    <row r="356" spans="1:14">
      <c r="A356" s="1" t="s">
        <v>386</v>
      </c>
      <c r="B356" s="21"/>
      <c r="C356" s="21"/>
      <c r="D356" s="21"/>
      <c r="E356" s="734">
        <f>E360</f>
        <v>410.19</v>
      </c>
      <c r="F356" s="734"/>
      <c r="G356" s="21"/>
      <c r="H356" s="21"/>
      <c r="I356" s="22"/>
      <c r="J356" s="22"/>
      <c r="K356" s="22"/>
      <c r="L356" s="22"/>
      <c r="M356" s="22"/>
      <c r="N356" s="22"/>
    </row>
    <row r="357" spans="1:14">
      <c r="A357" s="21"/>
      <c r="B357" s="21"/>
      <c r="C357" s="21"/>
      <c r="D357" s="21"/>
      <c r="E357" s="21"/>
      <c r="F357" s="21"/>
      <c r="G357" s="21"/>
      <c r="H357" s="21"/>
      <c r="I357" s="22"/>
      <c r="J357" s="22"/>
      <c r="K357" s="22"/>
      <c r="L357" s="22"/>
      <c r="M357" s="22"/>
      <c r="N357" s="22"/>
    </row>
    <row r="358" spans="1:14">
      <c r="A358" s="679" t="s">
        <v>387</v>
      </c>
      <c r="B358" s="679"/>
      <c r="C358" s="679"/>
      <c r="D358" s="679"/>
      <c r="E358" s="265">
        <f>E340</f>
        <v>41019</v>
      </c>
      <c r="F358" s="21"/>
      <c r="G358" s="21"/>
      <c r="H358" s="21"/>
      <c r="I358" s="22"/>
      <c r="J358" s="22"/>
      <c r="K358" s="22"/>
      <c r="L358" s="22"/>
      <c r="M358" s="22"/>
      <c r="N358" s="22"/>
    </row>
    <row r="359" spans="1:14" ht="24.95" customHeight="1">
      <c r="A359" s="735" t="s">
        <v>280</v>
      </c>
      <c r="B359" s="735"/>
      <c r="C359" s="735"/>
      <c r="D359" s="735"/>
      <c r="E359" s="266">
        <v>0.01</v>
      </c>
      <c r="F359" s="267"/>
      <c r="G359" s="362"/>
      <c r="H359" s="63"/>
      <c r="I359" s="22"/>
      <c r="J359" s="22"/>
      <c r="K359" s="22"/>
      <c r="L359" s="22"/>
      <c r="M359" s="22"/>
      <c r="N359" s="22"/>
    </row>
    <row r="360" spans="1:14">
      <c r="A360" s="683" t="s">
        <v>276</v>
      </c>
      <c r="B360" s="683"/>
      <c r="C360" s="683"/>
      <c r="D360" s="683"/>
      <c r="E360" s="328">
        <f>E358*E359</f>
        <v>410.19</v>
      </c>
      <c r="F360" s="21"/>
      <c r="G360" s="21"/>
      <c r="H360" s="21"/>
      <c r="I360" s="22"/>
      <c r="J360" s="22"/>
      <c r="K360" s="22"/>
      <c r="L360" s="22"/>
      <c r="M360" s="22"/>
      <c r="N360" s="22"/>
    </row>
    <row r="361" spans="1:14">
      <c r="A361" s="21"/>
      <c r="B361" s="21"/>
      <c r="C361" s="21"/>
      <c r="D361" s="21"/>
      <c r="E361" s="21"/>
      <c r="F361" s="21"/>
      <c r="G361" s="21"/>
      <c r="H361" s="21"/>
      <c r="I361" s="22"/>
      <c r="J361" s="22"/>
      <c r="K361" s="22"/>
      <c r="L361" s="22"/>
      <c r="M361" s="22"/>
      <c r="N361" s="22"/>
    </row>
    <row r="362" spans="1:14">
      <c r="A362" s="1" t="s">
        <v>388</v>
      </c>
      <c r="B362" s="21"/>
      <c r="C362" s="21"/>
      <c r="D362" s="21"/>
      <c r="E362" s="734">
        <f>E370</f>
        <v>125.64000000000001</v>
      </c>
      <c r="F362" s="734"/>
      <c r="G362" s="21"/>
      <c r="H362" s="21"/>
      <c r="I362" s="22"/>
      <c r="J362" s="22"/>
      <c r="K362" s="22"/>
      <c r="L362" s="22"/>
      <c r="M362" s="22"/>
      <c r="N362" s="22"/>
    </row>
    <row r="363" spans="1:14">
      <c r="A363" s="21" t="s">
        <v>389</v>
      </c>
      <c r="B363" s="21"/>
      <c r="C363" s="21"/>
      <c r="D363" s="21"/>
      <c r="E363" s="21"/>
      <c r="F363" s="21"/>
      <c r="G363" s="21"/>
      <c r="H363" s="21"/>
      <c r="I363" s="22"/>
      <c r="J363" s="22"/>
      <c r="K363" s="22"/>
      <c r="L363" s="22"/>
      <c r="M363" s="22"/>
      <c r="N363" s="22"/>
    </row>
    <row r="364" spans="1:14">
      <c r="A364" s="21" t="s">
        <v>390</v>
      </c>
      <c r="B364" s="21"/>
      <c r="C364" s="21"/>
      <c r="D364" s="21"/>
      <c r="E364" s="21"/>
      <c r="F364" s="21"/>
      <c r="G364" s="21"/>
      <c r="H364" s="21"/>
      <c r="I364" s="22"/>
      <c r="J364" s="22"/>
      <c r="K364" s="22"/>
      <c r="L364" s="22"/>
      <c r="M364" s="22"/>
      <c r="N364" s="22"/>
    </row>
    <row r="365" spans="1:14">
      <c r="A365" s="21" t="s">
        <v>391</v>
      </c>
      <c r="B365" s="21"/>
      <c r="C365" s="363">
        <v>349</v>
      </c>
      <c r="D365" s="21"/>
      <c r="E365" s="21"/>
      <c r="F365" s="21"/>
      <c r="G365" s="21"/>
      <c r="H365" s="21"/>
      <c r="I365" s="22"/>
      <c r="J365" s="22"/>
      <c r="K365" s="22"/>
      <c r="L365" s="22"/>
      <c r="M365" s="22"/>
      <c r="N365" s="22"/>
    </row>
    <row r="366" spans="1:14">
      <c r="A366" s="272" t="s">
        <v>392</v>
      </c>
      <c r="B366" s="272"/>
      <c r="C366" s="272"/>
      <c r="D366" s="21"/>
      <c r="E366" s="21"/>
      <c r="F366" s="21"/>
      <c r="G366" s="21"/>
      <c r="H366" s="21"/>
      <c r="I366" s="22"/>
      <c r="J366" s="22"/>
      <c r="K366" s="22"/>
      <c r="L366" s="22"/>
      <c r="M366" s="22"/>
      <c r="N366" s="22"/>
    </row>
    <row r="367" spans="1:14">
      <c r="A367" s="736" t="s">
        <v>393</v>
      </c>
      <c r="B367" s="736"/>
      <c r="C367" s="736"/>
      <c r="D367" s="21"/>
      <c r="E367" s="21"/>
      <c r="F367" s="21"/>
      <c r="G367" s="21"/>
      <c r="H367" s="21"/>
      <c r="I367" s="22"/>
      <c r="J367" s="22"/>
      <c r="K367" s="22"/>
      <c r="L367" s="22"/>
      <c r="M367" s="22"/>
      <c r="N367" s="22"/>
    </row>
    <row r="368" spans="1:14">
      <c r="A368" s="736" t="s">
        <v>394</v>
      </c>
      <c r="B368" s="736"/>
      <c r="C368" s="736"/>
      <c r="D368" s="21"/>
      <c r="E368" s="364">
        <f>4*C365/30000</f>
        <v>4.6533333333333336E-2</v>
      </c>
      <c r="F368" s="21"/>
      <c r="G368" s="21"/>
      <c r="H368" s="21"/>
      <c r="I368" s="22"/>
      <c r="J368" s="22"/>
      <c r="K368" s="22"/>
      <c r="L368" s="22"/>
      <c r="M368" s="22"/>
      <c r="N368" s="22"/>
    </row>
    <row r="369" spans="1:14">
      <c r="A369" s="21"/>
      <c r="B369" s="21"/>
      <c r="C369" s="21"/>
      <c r="D369" s="21"/>
      <c r="E369" s="21"/>
      <c r="F369" s="21"/>
      <c r="G369" s="21"/>
      <c r="H369" s="21"/>
      <c r="I369" s="22"/>
      <c r="J369" s="22"/>
      <c r="K369" s="22"/>
      <c r="L369" s="22"/>
      <c r="M369" s="22"/>
      <c r="N369" s="22"/>
    </row>
    <row r="370" spans="1:14">
      <c r="A370" s="737" t="s">
        <v>395</v>
      </c>
      <c r="B370" s="737"/>
      <c r="C370" s="737"/>
      <c r="D370" s="737"/>
      <c r="E370" s="252">
        <f>E368*E343</f>
        <v>125.64000000000001</v>
      </c>
      <c r="F370" s="21"/>
      <c r="G370" s="21"/>
      <c r="H370" s="21"/>
      <c r="I370" s="22"/>
      <c r="J370" s="22"/>
      <c r="K370" s="22"/>
      <c r="L370" s="22"/>
      <c r="M370" s="22"/>
      <c r="N370" s="22"/>
    </row>
    <row r="371" spans="1:14" ht="15" customHeight="1">
      <c r="A371" s="192"/>
      <c r="B371" s="192"/>
      <c r="C371" s="273"/>
      <c r="D371" s="365"/>
      <c r="E371" s="273"/>
      <c r="F371" s="273"/>
      <c r="G371" s="365"/>
      <c r="H371" s="273"/>
      <c r="I371" s="22"/>
      <c r="J371" s="22"/>
      <c r="K371" s="22"/>
      <c r="L371" s="22"/>
      <c r="M371" s="22"/>
      <c r="N371" s="22"/>
    </row>
    <row r="372" spans="1:14">
      <c r="A372" s="1" t="s">
        <v>396</v>
      </c>
      <c r="B372" s="21"/>
      <c r="C372" s="21"/>
      <c r="D372" s="21"/>
      <c r="E372" s="677">
        <f>E379+E385+E390</f>
        <v>523.66999999999996</v>
      </c>
      <c r="F372" s="677"/>
      <c r="G372" s="21"/>
      <c r="H372" s="21"/>
      <c r="I372" s="22"/>
      <c r="J372" s="22"/>
      <c r="K372" s="22"/>
      <c r="L372" s="22"/>
      <c r="M372" s="22"/>
      <c r="N372" s="22"/>
    </row>
    <row r="373" spans="1:14">
      <c r="A373" s="21"/>
      <c r="B373" s="21"/>
      <c r="C373" s="21"/>
      <c r="D373" s="21"/>
      <c r="E373" s="21"/>
      <c r="F373" s="21"/>
      <c r="G373" s="21"/>
      <c r="H373" s="21"/>
      <c r="I373" s="22"/>
      <c r="J373" s="22"/>
      <c r="K373" s="22"/>
      <c r="L373" s="22"/>
      <c r="M373" s="22"/>
      <c r="N373" s="22"/>
    </row>
    <row r="374" spans="1:14">
      <c r="A374" s="1" t="s">
        <v>397</v>
      </c>
      <c r="B374" s="21"/>
      <c r="C374" s="21"/>
      <c r="D374" s="21"/>
      <c r="E374" s="125"/>
      <c r="F374" s="125"/>
      <c r="G374" s="192"/>
      <c r="H374" s="192"/>
      <c r="I374" s="22"/>
      <c r="J374" s="22"/>
      <c r="K374" s="22"/>
      <c r="L374" s="22"/>
      <c r="M374" s="22"/>
      <c r="N374" s="22"/>
    </row>
    <row r="375" spans="1:14">
      <c r="A375" s="725" t="s">
        <v>296</v>
      </c>
      <c r="B375" s="725"/>
      <c r="C375" s="725"/>
      <c r="D375" s="725"/>
      <c r="E375" s="26">
        <v>3.5</v>
      </c>
      <c r="F375" s="366"/>
      <c r="G375" s="192"/>
      <c r="H375" s="192"/>
      <c r="I375" s="22"/>
      <c r="J375" s="22"/>
      <c r="K375" s="22"/>
      <c r="L375" s="22"/>
      <c r="M375" s="22"/>
      <c r="N375" s="22"/>
    </row>
    <row r="376" spans="1:14">
      <c r="A376" s="725" t="s">
        <v>297</v>
      </c>
      <c r="B376" s="725"/>
      <c r="C376" s="725"/>
      <c r="D376" s="725"/>
      <c r="E376" s="245">
        <v>56</v>
      </c>
      <c r="F376" s="367" t="s">
        <v>398</v>
      </c>
      <c r="G376" s="192"/>
      <c r="H376" s="192"/>
      <c r="I376" s="22"/>
      <c r="J376" s="22"/>
      <c r="K376" s="22"/>
      <c r="L376" s="22"/>
      <c r="M376" s="22"/>
      <c r="N376" s="22"/>
    </row>
    <row r="377" spans="1:14">
      <c r="A377" s="725" t="s">
        <v>299</v>
      </c>
      <c r="B377" s="725"/>
      <c r="C377" s="725"/>
      <c r="D377" s="725"/>
      <c r="E377" s="283">
        <v>20000</v>
      </c>
      <c r="F377" s="368"/>
      <c r="G377" s="192"/>
      <c r="H377" s="192"/>
      <c r="I377" s="22"/>
      <c r="J377" s="22"/>
      <c r="K377" s="22"/>
      <c r="L377" s="22"/>
      <c r="M377" s="22"/>
      <c r="N377" s="22"/>
    </row>
    <row r="378" spans="1:14">
      <c r="A378" s="725" t="s">
        <v>300</v>
      </c>
      <c r="B378" s="725"/>
      <c r="C378" s="725"/>
      <c r="D378" s="725"/>
      <c r="E378" s="369">
        <f>(E376*E375)/E377</f>
        <v>9.7999999999999997E-3</v>
      </c>
      <c r="F378" s="370"/>
      <c r="G378" s="192"/>
      <c r="H378" s="192"/>
      <c r="I378" s="22"/>
      <c r="J378" s="22"/>
      <c r="K378" s="22"/>
      <c r="L378" s="22"/>
      <c r="M378" s="22"/>
      <c r="N378" s="22"/>
    </row>
    <row r="379" spans="1:14">
      <c r="A379" s="662" t="s">
        <v>399</v>
      </c>
      <c r="B379" s="662"/>
      <c r="C379" s="662"/>
      <c r="D379" s="662"/>
      <c r="E379" s="252">
        <f>E378*E343</f>
        <v>26.46</v>
      </c>
      <c r="F379" s="371"/>
      <c r="G379" s="331"/>
      <c r="H379" s="192"/>
      <c r="I379" s="22"/>
      <c r="J379" s="22"/>
      <c r="K379" s="22"/>
      <c r="L379" s="22"/>
      <c r="M379" s="22"/>
      <c r="N379" s="22"/>
    </row>
    <row r="380" spans="1:14">
      <c r="A380" s="21"/>
      <c r="B380" s="21"/>
      <c r="C380" s="21"/>
      <c r="D380" s="21"/>
      <c r="E380" s="21"/>
      <c r="F380" s="192"/>
      <c r="G380" s="192"/>
      <c r="H380" s="192"/>
      <c r="I380" s="22"/>
      <c r="J380" s="22"/>
      <c r="K380" s="22"/>
      <c r="L380" s="22"/>
      <c r="M380" s="22"/>
      <c r="N380" s="22"/>
    </row>
    <row r="381" spans="1:14">
      <c r="A381" s="1" t="s">
        <v>316</v>
      </c>
      <c r="B381" s="21"/>
      <c r="C381" s="21"/>
      <c r="D381" s="21"/>
      <c r="E381" s="125"/>
      <c r="F381" s="125"/>
      <c r="G381" s="192"/>
      <c r="H381" s="192"/>
      <c r="I381" s="22"/>
      <c r="J381" s="22"/>
      <c r="K381" s="22"/>
      <c r="L381" s="22"/>
      <c r="M381" s="22"/>
      <c r="N381" s="22"/>
    </row>
    <row r="382" spans="1:14">
      <c r="A382" s="725" t="s">
        <v>400</v>
      </c>
      <c r="B382" s="725"/>
      <c r="C382" s="725"/>
      <c r="D382" s="725"/>
      <c r="E382" s="245">
        <f>(28+41+34)</f>
        <v>103</v>
      </c>
      <c r="F382" s="21"/>
      <c r="G382" s="372" t="s">
        <v>401</v>
      </c>
      <c r="H382" s="373">
        <v>28</v>
      </c>
      <c r="I382" s="22"/>
      <c r="J382" s="22"/>
      <c r="K382" s="22"/>
      <c r="L382" s="22"/>
      <c r="M382" s="22"/>
      <c r="N382" s="22"/>
    </row>
    <row r="383" spans="1:14">
      <c r="A383" s="725" t="s">
        <v>299</v>
      </c>
      <c r="B383" s="725"/>
      <c r="C383" s="725"/>
      <c r="D383" s="725"/>
      <c r="E383" s="47">
        <v>10000</v>
      </c>
      <c r="F383" s="21"/>
      <c r="G383" s="374" t="s">
        <v>402</v>
      </c>
      <c r="H383" s="373">
        <v>41</v>
      </c>
      <c r="I383" s="22"/>
      <c r="J383" s="22"/>
      <c r="K383" s="22"/>
      <c r="L383" s="22"/>
      <c r="M383" s="22"/>
      <c r="N383" s="22"/>
    </row>
    <row r="384" spans="1:14">
      <c r="A384" s="725" t="s">
        <v>300</v>
      </c>
      <c r="B384" s="725"/>
      <c r="C384" s="725"/>
      <c r="D384" s="725"/>
      <c r="E384" s="369">
        <f>E382/E383</f>
        <v>1.03E-2</v>
      </c>
      <c r="F384" s="21"/>
      <c r="G384" s="375" t="s">
        <v>403</v>
      </c>
      <c r="H384" s="373">
        <v>33.799999999999997</v>
      </c>
      <c r="I384" s="22"/>
      <c r="J384" s="22"/>
      <c r="K384" s="22"/>
      <c r="L384" s="22"/>
      <c r="M384" s="22"/>
      <c r="N384" s="22"/>
    </row>
    <row r="385" spans="1:14">
      <c r="A385" s="662" t="s">
        <v>399</v>
      </c>
      <c r="B385" s="662"/>
      <c r="C385" s="662"/>
      <c r="D385" s="662"/>
      <c r="E385" s="252">
        <f>E384*E343</f>
        <v>27.81</v>
      </c>
      <c r="F385" s="331"/>
      <c r="G385" s="331"/>
      <c r="H385" s="192"/>
      <c r="I385" s="22"/>
      <c r="J385" s="22"/>
      <c r="K385" s="22"/>
      <c r="L385" s="22"/>
      <c r="M385" s="22"/>
      <c r="N385" s="22"/>
    </row>
    <row r="386" spans="1:14">
      <c r="A386" s="21"/>
      <c r="B386" s="21"/>
      <c r="C386" s="21"/>
      <c r="D386" s="21"/>
      <c r="E386" s="21"/>
      <c r="F386" s="192"/>
      <c r="G386" s="192"/>
      <c r="H386" s="192"/>
      <c r="I386" s="22"/>
      <c r="J386" s="22"/>
      <c r="K386" s="22"/>
      <c r="L386" s="22"/>
      <c r="M386" s="22"/>
      <c r="N386" s="22"/>
    </row>
    <row r="387" spans="1:14">
      <c r="A387" s="1" t="s">
        <v>258</v>
      </c>
      <c r="B387" s="21"/>
      <c r="C387" s="21"/>
      <c r="D387" s="21"/>
      <c r="E387" s="125"/>
      <c r="F387" s="125"/>
      <c r="G387" s="192"/>
      <c r="H387" s="192"/>
      <c r="I387" s="22"/>
      <c r="J387" s="22"/>
      <c r="K387" s="22"/>
      <c r="L387" s="22"/>
      <c r="M387" s="22"/>
      <c r="N387" s="22"/>
    </row>
    <row r="388" spans="1:14" ht="24.95" customHeight="1">
      <c r="A388" s="681" t="s">
        <v>404</v>
      </c>
      <c r="B388" s="681"/>
      <c r="C388" s="681"/>
      <c r="D388" s="681"/>
      <c r="E388" s="241">
        <f>40*4.34+4.7*0.5*26</f>
        <v>234.7</v>
      </c>
      <c r="F388" s="376"/>
      <c r="G388" s="192"/>
      <c r="H388" s="192"/>
      <c r="I388" s="22"/>
      <c r="J388" s="22"/>
      <c r="K388" s="22"/>
      <c r="L388" s="22"/>
      <c r="M388" s="22"/>
      <c r="N388" s="22"/>
    </row>
    <row r="389" spans="1:14">
      <c r="A389" s="725" t="s">
        <v>405</v>
      </c>
      <c r="B389" s="725"/>
      <c r="C389" s="725"/>
      <c r="D389" s="725"/>
      <c r="E389" s="47">
        <f>E341</f>
        <v>2</v>
      </c>
      <c r="F389" s="360"/>
      <c r="G389" s="192"/>
      <c r="H389" s="192"/>
      <c r="I389" s="22"/>
      <c r="J389" s="22"/>
      <c r="K389" s="22"/>
      <c r="L389" s="22"/>
      <c r="M389" s="22"/>
      <c r="N389" s="22"/>
    </row>
    <row r="390" spans="1:14">
      <c r="A390" s="662" t="s">
        <v>399</v>
      </c>
      <c r="B390" s="662"/>
      <c r="C390" s="662"/>
      <c r="D390" s="662"/>
      <c r="E390" s="252">
        <f>E388*E389</f>
        <v>469.4</v>
      </c>
      <c r="F390" s="331"/>
      <c r="G390" s="331"/>
      <c r="H390" s="192"/>
      <c r="I390" s="22"/>
      <c r="J390" s="22"/>
      <c r="K390" s="22"/>
      <c r="L390" s="22"/>
      <c r="M390" s="22"/>
      <c r="N390" s="22"/>
    </row>
    <row r="391" spans="1:14">
      <c r="A391" s="21"/>
      <c r="B391" s="21"/>
      <c r="C391" s="21"/>
      <c r="D391" s="21"/>
      <c r="E391" s="192"/>
      <c r="F391" s="192"/>
      <c r="G391" s="192"/>
      <c r="H391" s="192"/>
      <c r="I391" s="22"/>
      <c r="J391" s="22"/>
      <c r="K391" s="22"/>
      <c r="L391" s="22"/>
      <c r="M391" s="22"/>
      <c r="N391" s="22"/>
    </row>
    <row r="392" spans="1:14">
      <c r="A392" s="1" t="s">
        <v>406</v>
      </c>
      <c r="B392" s="21"/>
      <c r="C392" s="21"/>
      <c r="D392" s="21"/>
      <c r="E392" s="734">
        <f>E399</f>
        <v>228.80541666666667</v>
      </c>
      <c r="F392" s="734"/>
      <c r="G392" s="21"/>
      <c r="H392" s="21"/>
      <c r="I392" s="22"/>
      <c r="J392" s="22"/>
      <c r="K392" s="22"/>
      <c r="L392" s="22"/>
      <c r="M392" s="22"/>
      <c r="N392" s="22"/>
    </row>
    <row r="393" spans="1:14">
      <c r="A393" s="21"/>
      <c r="B393" s="21"/>
      <c r="C393" s="21"/>
      <c r="D393" s="21"/>
      <c r="E393" s="21"/>
      <c r="F393" s="21"/>
      <c r="G393" s="21"/>
      <c r="H393" s="21"/>
      <c r="I393" s="22"/>
      <c r="J393" s="22"/>
      <c r="K393" s="22"/>
      <c r="L393" s="22"/>
      <c r="M393" s="22"/>
      <c r="N393" s="22"/>
    </row>
    <row r="394" spans="1:14">
      <c r="A394" s="725" t="s">
        <v>330</v>
      </c>
      <c r="B394" s="725"/>
      <c r="C394" s="725"/>
      <c r="D394" s="725"/>
      <c r="E394" s="377">
        <v>5.23</v>
      </c>
      <c r="F394" s="21"/>
      <c r="G394" s="21"/>
      <c r="H394" s="21"/>
      <c r="I394" s="22"/>
      <c r="J394" s="22"/>
      <c r="K394" s="22"/>
      <c r="L394" s="22"/>
      <c r="M394" s="22"/>
      <c r="N394" s="22"/>
    </row>
    <row r="395" spans="1:14">
      <c r="A395" s="725" t="s">
        <v>407</v>
      </c>
      <c r="B395" s="725"/>
      <c r="C395" s="725"/>
      <c r="D395" s="725"/>
      <c r="E395" s="378">
        <f>2.5/100*E340</f>
        <v>1025.4750000000001</v>
      </c>
      <c r="F395" s="21"/>
      <c r="G395" s="21"/>
      <c r="H395" s="21"/>
      <c r="I395" s="22"/>
      <c r="J395" s="22"/>
      <c r="K395" s="22"/>
      <c r="L395" s="22"/>
      <c r="M395" s="22"/>
      <c r="N395" s="22"/>
    </row>
    <row r="396" spans="1:14">
      <c r="A396" s="725" t="s">
        <v>408</v>
      </c>
      <c r="B396" s="725"/>
      <c r="C396" s="725"/>
      <c r="D396" s="725"/>
      <c r="E396" s="378">
        <f>0.04*E340</f>
        <v>1640.76</v>
      </c>
      <c r="F396" s="21"/>
      <c r="G396" s="21"/>
      <c r="H396" s="21"/>
      <c r="I396" s="22"/>
      <c r="J396" s="22"/>
      <c r="K396" s="22"/>
      <c r="L396" s="22"/>
      <c r="M396" s="22"/>
      <c r="N396" s="22"/>
    </row>
    <row r="397" spans="1:14">
      <c r="A397" s="725" t="s">
        <v>333</v>
      </c>
      <c r="B397" s="725"/>
      <c r="C397" s="725"/>
      <c r="D397" s="725"/>
      <c r="E397" s="377">
        <v>74.2</v>
      </c>
      <c r="F397" s="21"/>
      <c r="G397" s="21"/>
      <c r="H397" s="21"/>
      <c r="I397" s="22"/>
      <c r="J397" s="22"/>
      <c r="K397" s="22"/>
      <c r="L397" s="22"/>
      <c r="M397" s="22"/>
      <c r="N397" s="22"/>
    </row>
    <row r="398" spans="1:14">
      <c r="A398" s="725" t="s">
        <v>334</v>
      </c>
      <c r="B398" s="725"/>
      <c r="C398" s="725"/>
      <c r="D398" s="725"/>
      <c r="E398" s="378">
        <f>(E394+E395+E396+E397)</f>
        <v>2745.665</v>
      </c>
      <c r="F398" s="21"/>
      <c r="G398" s="21"/>
      <c r="H398" s="21"/>
      <c r="I398" s="22"/>
      <c r="J398" s="22"/>
      <c r="K398" s="22"/>
      <c r="L398" s="22"/>
      <c r="M398" s="22"/>
      <c r="N398" s="22"/>
    </row>
    <row r="399" spans="1:14">
      <c r="A399" s="662" t="s">
        <v>378</v>
      </c>
      <c r="B399" s="662"/>
      <c r="C399" s="662"/>
      <c r="D399" s="662"/>
      <c r="E399" s="379">
        <f>E398/12</f>
        <v>228.80541666666667</v>
      </c>
      <c r="F399" s="21"/>
      <c r="G399" s="21"/>
      <c r="H399" s="21"/>
      <c r="I399" s="22"/>
      <c r="J399" s="22"/>
      <c r="K399" s="22"/>
      <c r="L399" s="22"/>
      <c r="M399" s="22"/>
      <c r="N399" s="22"/>
    </row>
    <row r="400" spans="1:14">
      <c r="A400" s="259"/>
      <c r="B400" s="259"/>
      <c r="C400" s="259"/>
      <c r="D400" s="259"/>
      <c r="E400" s="331"/>
      <c r="F400" s="21"/>
      <c r="G400" s="21"/>
      <c r="H400" s="21"/>
      <c r="I400" s="22"/>
      <c r="J400" s="22"/>
      <c r="K400" s="22"/>
      <c r="L400" s="22"/>
      <c r="M400" s="22"/>
      <c r="N400" s="22"/>
    </row>
    <row r="401" spans="1:14">
      <c r="A401" s="1" t="s">
        <v>409</v>
      </c>
      <c r="B401" s="21"/>
      <c r="C401" s="21"/>
      <c r="D401" s="21"/>
      <c r="E401" s="734">
        <f>E407</f>
        <v>683.65000000000009</v>
      </c>
      <c r="F401" s="734"/>
      <c r="G401" s="21"/>
      <c r="H401" s="21"/>
      <c r="I401" s="22"/>
      <c r="J401" s="22"/>
      <c r="K401" s="22"/>
      <c r="L401" s="22"/>
      <c r="M401" s="22"/>
      <c r="N401" s="22"/>
    </row>
    <row r="402" spans="1:14">
      <c r="A402" s="324" t="s">
        <v>340</v>
      </c>
      <c r="B402" s="21"/>
      <c r="C402" s="21"/>
      <c r="D402" s="21"/>
      <c r="E402" s="21"/>
      <c r="F402" s="21"/>
      <c r="G402" s="21"/>
      <c r="H402" s="21"/>
      <c r="I402" s="22"/>
      <c r="J402" s="22"/>
      <c r="K402" s="22"/>
      <c r="L402" s="22"/>
      <c r="M402" s="22"/>
      <c r="N402" s="22"/>
    </row>
    <row r="403" spans="1:14">
      <c r="A403" s="725" t="s">
        <v>410</v>
      </c>
      <c r="B403" s="725"/>
      <c r="C403" s="725"/>
      <c r="D403" s="725"/>
      <c r="E403" s="356">
        <f>E340</f>
        <v>41019</v>
      </c>
      <c r="F403" s="21"/>
      <c r="G403" s="21"/>
      <c r="H403" s="21"/>
      <c r="I403" s="22"/>
      <c r="J403" s="22"/>
      <c r="K403" s="22"/>
      <c r="L403" s="22"/>
      <c r="M403" s="22"/>
      <c r="N403" s="22"/>
    </row>
    <row r="404" spans="1:14">
      <c r="A404" s="725" t="s">
        <v>411</v>
      </c>
      <c r="B404" s="725"/>
      <c r="C404" s="725"/>
      <c r="D404" s="725"/>
      <c r="E404" s="356">
        <f>E403*0.2</f>
        <v>8203.8000000000011</v>
      </c>
      <c r="F404" s="21"/>
      <c r="G404" s="21"/>
      <c r="H404" s="21"/>
      <c r="I404" s="22"/>
      <c r="J404" s="22"/>
      <c r="K404" s="22"/>
      <c r="L404" s="22"/>
      <c r="M404" s="22"/>
      <c r="N404" s="22"/>
    </row>
    <row r="405" spans="1:14">
      <c r="A405" s="725" t="s">
        <v>412</v>
      </c>
      <c r="B405" s="725"/>
      <c r="C405" s="725"/>
      <c r="D405" s="725"/>
      <c r="E405" s="26">
        <v>2</v>
      </c>
      <c r="F405" s="21"/>
      <c r="G405" s="21"/>
      <c r="H405" s="21"/>
      <c r="I405" s="22"/>
      <c r="J405" s="22"/>
      <c r="K405" s="22"/>
      <c r="L405" s="22"/>
      <c r="M405" s="22"/>
      <c r="N405" s="22"/>
    </row>
    <row r="406" spans="1:14">
      <c r="A406" s="725" t="s">
        <v>413</v>
      </c>
      <c r="B406" s="725"/>
      <c r="C406" s="725"/>
      <c r="D406" s="725"/>
      <c r="E406" s="380">
        <v>0.5</v>
      </c>
      <c r="F406" s="21"/>
      <c r="G406" s="21"/>
      <c r="H406" s="21"/>
      <c r="I406" s="22"/>
      <c r="J406" s="22"/>
      <c r="K406" s="22"/>
      <c r="L406" s="22"/>
      <c r="M406" s="22"/>
      <c r="N406" s="22"/>
    </row>
    <row r="407" spans="1:14">
      <c r="A407" s="662" t="s">
        <v>378</v>
      </c>
      <c r="B407" s="662"/>
      <c r="C407" s="662"/>
      <c r="D407" s="662"/>
      <c r="E407" s="286">
        <f>E403*0.8/48</f>
        <v>683.65000000000009</v>
      </c>
      <c r="F407" s="21"/>
      <c r="G407" s="21"/>
      <c r="H407" s="21"/>
      <c r="I407" s="22"/>
      <c r="J407" s="22"/>
      <c r="K407" s="22"/>
      <c r="L407" s="22"/>
      <c r="M407" s="22"/>
      <c r="N407" s="22"/>
    </row>
    <row r="408" spans="1:14">
      <c r="A408" s="259"/>
      <c r="B408" s="259"/>
      <c r="C408" s="259"/>
      <c r="D408" s="259"/>
      <c r="E408" s="381"/>
      <c r="F408" s="21"/>
      <c r="G408" s="21"/>
      <c r="H408" s="21"/>
      <c r="I408" s="22"/>
      <c r="J408" s="22"/>
      <c r="K408" s="22"/>
      <c r="L408" s="22"/>
      <c r="M408" s="22"/>
      <c r="N408" s="22"/>
    </row>
    <row r="409" spans="1:14">
      <c r="A409" s="259" t="s">
        <v>414</v>
      </c>
      <c r="B409" s="259"/>
      <c r="C409" s="259"/>
      <c r="D409" s="259"/>
      <c r="E409" s="752">
        <f>E424</f>
        <v>54.692000000000007</v>
      </c>
      <c r="F409" s="752"/>
      <c r="G409" s="21"/>
      <c r="H409" s="21"/>
      <c r="I409" s="22"/>
      <c r="J409" s="22"/>
      <c r="K409" s="22"/>
      <c r="L409" s="22"/>
      <c r="M409" s="22"/>
      <c r="N409" s="22"/>
    </row>
    <row r="410" spans="1:14">
      <c r="A410" s="324" t="s">
        <v>355</v>
      </c>
      <c r="B410" s="21"/>
      <c r="C410" s="21"/>
      <c r="D410" s="21"/>
      <c r="E410" s="21"/>
      <c r="F410" s="21"/>
      <c r="G410" s="21"/>
      <c r="H410" s="21"/>
      <c r="I410" s="22"/>
      <c r="J410" s="22"/>
      <c r="K410" s="22"/>
      <c r="L410" s="22"/>
      <c r="M410" s="22"/>
      <c r="N410" s="22"/>
    </row>
    <row r="411" spans="1:14">
      <c r="A411" s="21" t="s">
        <v>356</v>
      </c>
      <c r="B411" s="21"/>
      <c r="C411" s="21"/>
      <c r="D411" s="21"/>
      <c r="E411" s="21"/>
      <c r="F411" s="21"/>
      <c r="G411" s="21"/>
      <c r="H411" s="21"/>
      <c r="I411" s="22"/>
      <c r="J411" s="22"/>
      <c r="K411" s="22"/>
      <c r="L411" s="22"/>
      <c r="M411" s="22"/>
      <c r="N411" s="22"/>
    </row>
    <row r="412" spans="1:14" ht="24.95" customHeight="1">
      <c r="A412" s="745" t="s">
        <v>415</v>
      </c>
      <c r="B412" s="745"/>
      <c r="C412" s="745"/>
      <c r="D412" s="745"/>
      <c r="E412" s="745"/>
      <c r="F412" s="745"/>
      <c r="G412" s="745"/>
      <c r="H412" s="21"/>
      <c r="I412" s="22"/>
      <c r="J412" s="22"/>
      <c r="K412" s="22"/>
      <c r="L412" s="22"/>
      <c r="M412" s="22"/>
      <c r="N412" s="22"/>
    </row>
    <row r="413" spans="1:14">
      <c r="A413" s="21"/>
      <c r="B413" s="21"/>
      <c r="C413" s="21"/>
      <c r="D413" s="21"/>
      <c r="E413" s="21"/>
      <c r="F413" s="21"/>
      <c r="G413" s="21"/>
      <c r="H413" s="21"/>
      <c r="I413" s="22"/>
      <c r="J413" s="22"/>
      <c r="K413" s="22"/>
      <c r="L413" s="22"/>
      <c r="M413" s="22"/>
      <c r="N413" s="22"/>
    </row>
    <row r="414" spans="1:14">
      <c r="A414" s="333" t="s">
        <v>358</v>
      </c>
      <c r="B414" s="21"/>
      <c r="C414" s="21"/>
      <c r="D414" s="21"/>
      <c r="E414" s="21"/>
      <c r="F414" s="21"/>
      <c r="G414" s="21"/>
      <c r="H414" s="21"/>
      <c r="I414" s="22"/>
      <c r="J414" s="22"/>
      <c r="K414" s="22"/>
      <c r="L414" s="22"/>
      <c r="M414" s="22"/>
      <c r="N414" s="22"/>
    </row>
    <row r="415" spans="1:14">
      <c r="A415" s="333" t="s">
        <v>359</v>
      </c>
      <c r="B415" s="21"/>
      <c r="C415" s="21"/>
      <c r="D415" s="21"/>
      <c r="E415" s="21"/>
      <c r="F415" s="21"/>
      <c r="G415" s="21"/>
      <c r="H415" s="21"/>
      <c r="I415" s="22"/>
      <c r="J415" s="22"/>
      <c r="K415" s="22"/>
      <c r="L415" s="22"/>
      <c r="M415" s="22"/>
      <c r="N415" s="22"/>
    </row>
    <row r="416" spans="1:14">
      <c r="A416" s="333" t="s">
        <v>360</v>
      </c>
      <c r="B416" s="21"/>
      <c r="C416" s="21"/>
      <c r="D416" s="21"/>
      <c r="E416" s="21"/>
      <c r="F416" s="21"/>
      <c r="G416" s="21"/>
      <c r="H416" s="21"/>
      <c r="I416" s="22"/>
      <c r="J416" s="22"/>
      <c r="K416" s="22"/>
      <c r="L416" s="22"/>
      <c r="M416" s="22"/>
      <c r="N416" s="22"/>
    </row>
    <row r="417" spans="1:14">
      <c r="A417" s="333" t="s">
        <v>416</v>
      </c>
      <c r="B417" s="21"/>
      <c r="C417" s="21"/>
      <c r="D417" s="21"/>
      <c r="E417" s="21"/>
      <c r="F417" s="21"/>
      <c r="G417" s="21"/>
      <c r="H417" s="21"/>
      <c r="I417" s="22"/>
      <c r="J417" s="22"/>
      <c r="K417" s="22"/>
      <c r="L417" s="22"/>
      <c r="M417" s="22"/>
      <c r="N417" s="22"/>
    </row>
    <row r="418" spans="1:14">
      <c r="A418" s="333"/>
      <c r="B418" s="21"/>
      <c r="C418" s="21"/>
      <c r="D418" s="21"/>
      <c r="E418" s="21"/>
      <c r="F418" s="21"/>
      <c r="G418" s="21"/>
      <c r="H418" s="21"/>
      <c r="I418" s="22"/>
      <c r="J418" s="22"/>
      <c r="K418" s="22"/>
      <c r="L418" s="22"/>
      <c r="M418" s="22"/>
      <c r="N418" s="22"/>
    </row>
    <row r="419" spans="1:14">
      <c r="A419" s="334" t="s">
        <v>362</v>
      </c>
      <c r="B419" s="335">
        <f>(2+(2-1)*(1+20/100))/(2*2)</f>
        <v>0.8</v>
      </c>
      <c r="C419" s="21"/>
      <c r="D419" s="21"/>
      <c r="E419" s="21"/>
      <c r="F419" s="21"/>
      <c r="G419" s="21"/>
      <c r="H419" s="21"/>
      <c r="I419" s="22"/>
      <c r="J419" s="22"/>
      <c r="K419" s="22"/>
      <c r="L419" s="22"/>
      <c r="M419" s="22"/>
      <c r="N419" s="22"/>
    </row>
    <row r="420" spans="1:14">
      <c r="A420" s="631" t="s">
        <v>740</v>
      </c>
      <c r="B420" s="21"/>
      <c r="C420" s="21"/>
      <c r="H420" s="21"/>
      <c r="I420" s="22"/>
      <c r="J420" s="22"/>
      <c r="K420" s="22"/>
      <c r="L420" s="22"/>
      <c r="M420" s="22"/>
      <c r="N420" s="22"/>
    </row>
    <row r="421" spans="1:14">
      <c r="A421" s="337" t="s">
        <v>363</v>
      </c>
      <c r="B421" s="21"/>
      <c r="C421" s="21"/>
      <c r="D421" s="21"/>
      <c r="E421" s="21"/>
      <c r="F421" s="21"/>
      <c r="G421" s="21"/>
      <c r="H421" s="21"/>
      <c r="I421" s="22"/>
      <c r="J421" s="22"/>
      <c r="K421" s="22"/>
      <c r="L421" s="22"/>
      <c r="M421" s="22"/>
      <c r="N421" s="22"/>
    </row>
    <row r="422" spans="1:14">
      <c r="A422" s="26" t="s">
        <v>364</v>
      </c>
      <c r="B422" s="268">
        <f>E358*B419*F422/100</f>
        <v>54.692000000000007</v>
      </c>
      <c r="C422" s="21"/>
      <c r="D422" s="21"/>
      <c r="E422" s="21"/>
      <c r="F422" s="173">
        <f>G311</f>
        <v>0.16666666666666666</v>
      </c>
      <c r="G422" s="21"/>
      <c r="H422" s="21"/>
      <c r="I422" s="22"/>
      <c r="J422" s="22"/>
      <c r="K422" s="22"/>
      <c r="L422" s="22"/>
      <c r="M422" s="22"/>
      <c r="N422" s="22"/>
    </row>
    <row r="423" spans="1:14">
      <c r="A423" s="338"/>
      <c r="B423" s="22"/>
      <c r="C423" s="22"/>
      <c r="D423" s="22"/>
      <c r="E423" s="22"/>
      <c r="F423" s="22"/>
      <c r="G423" s="22"/>
      <c r="H423" s="21"/>
      <c r="I423" s="22"/>
      <c r="J423" s="22"/>
      <c r="K423" s="22"/>
      <c r="L423" s="22"/>
      <c r="M423" s="22"/>
      <c r="N423" s="22"/>
    </row>
    <row r="424" spans="1:14">
      <c r="A424" s="662" t="s">
        <v>366</v>
      </c>
      <c r="B424" s="662"/>
      <c r="C424" s="662"/>
      <c r="D424" s="662"/>
      <c r="E424" s="49">
        <f>B422</f>
        <v>54.692000000000007</v>
      </c>
      <c r="F424" s="21"/>
      <c r="G424" s="21"/>
      <c r="H424" s="21"/>
      <c r="I424" s="22"/>
      <c r="J424" s="22"/>
      <c r="K424" s="22"/>
      <c r="L424" s="22"/>
      <c r="M424" s="22"/>
      <c r="N424" s="22"/>
    </row>
    <row r="425" spans="1:14">
      <c r="A425" s="82"/>
      <c r="B425" s="82"/>
      <c r="C425" s="82"/>
      <c r="D425" s="82"/>
      <c r="E425" s="82"/>
      <c r="F425" s="331"/>
      <c r="G425" s="21"/>
      <c r="H425" s="21"/>
      <c r="I425" s="22"/>
      <c r="J425" s="22"/>
      <c r="K425" s="22"/>
      <c r="L425" s="22"/>
      <c r="M425" s="22"/>
      <c r="N425" s="22"/>
    </row>
    <row r="426" spans="1:14">
      <c r="A426" s="1" t="s">
        <v>417</v>
      </c>
      <c r="B426" s="21"/>
      <c r="C426" s="21"/>
      <c r="D426" s="21"/>
      <c r="E426" s="677">
        <f>F430</f>
        <v>75</v>
      </c>
      <c r="F426" s="677"/>
      <c r="G426" s="113"/>
      <c r="H426" s="21"/>
      <c r="I426" s="22"/>
      <c r="J426" s="22"/>
      <c r="K426" s="22"/>
      <c r="L426" s="22"/>
      <c r="M426" s="22"/>
      <c r="N426" s="22"/>
    </row>
    <row r="427" spans="1:14">
      <c r="A427" s="1"/>
      <c r="B427" s="21"/>
      <c r="C427" s="21"/>
      <c r="D427" s="21"/>
      <c r="E427" s="21"/>
      <c r="F427" s="21"/>
      <c r="G427" s="21"/>
      <c r="H427" s="21"/>
      <c r="I427" s="22"/>
      <c r="J427" s="22"/>
      <c r="K427" s="22"/>
      <c r="L427" s="22"/>
      <c r="M427" s="22"/>
      <c r="N427" s="22"/>
    </row>
    <row r="428" spans="1:14">
      <c r="A428" s="725" t="s">
        <v>418</v>
      </c>
      <c r="B428" s="725"/>
      <c r="C428" s="725"/>
      <c r="D428" s="725"/>
      <c r="E428" s="725"/>
      <c r="F428" s="245">
        <v>180</v>
      </c>
      <c r="G428" s="21"/>
      <c r="H428" s="21"/>
      <c r="I428" s="22"/>
      <c r="J428" s="22"/>
      <c r="K428" s="22"/>
      <c r="L428" s="22"/>
      <c r="M428" s="22"/>
      <c r="N428" s="22"/>
    </row>
    <row r="429" spans="1:14">
      <c r="A429" s="679" t="s">
        <v>371</v>
      </c>
      <c r="B429" s="679"/>
      <c r="C429" s="679"/>
      <c r="D429" s="679"/>
      <c r="E429" s="679"/>
      <c r="F429" s="245">
        <v>60</v>
      </c>
      <c r="G429" s="21"/>
      <c r="H429" s="21"/>
      <c r="I429" s="22"/>
      <c r="J429" s="22"/>
      <c r="K429" s="22"/>
      <c r="L429" s="22"/>
      <c r="M429" s="22"/>
      <c r="N429" s="22"/>
    </row>
    <row r="430" spans="1:14">
      <c r="A430" s="662" t="s">
        <v>281</v>
      </c>
      <c r="B430" s="662"/>
      <c r="C430" s="662"/>
      <c r="D430" s="662"/>
      <c r="E430" s="662"/>
      <c r="F430" s="307">
        <f>F429+F428/12</f>
        <v>75</v>
      </c>
      <c r="G430" s="21"/>
      <c r="H430" s="21"/>
      <c r="I430" s="22"/>
      <c r="J430" s="22"/>
      <c r="K430" s="22"/>
      <c r="L430" s="22"/>
      <c r="M430" s="22"/>
      <c r="N430" s="22"/>
    </row>
    <row r="431" spans="1:14">
      <c r="A431" s="259"/>
      <c r="B431" s="259"/>
      <c r="C431" s="259"/>
      <c r="D431" s="259"/>
      <c r="E431" s="259"/>
      <c r="F431" s="260"/>
      <c r="G431" s="21"/>
      <c r="H431" s="21"/>
      <c r="I431" s="22"/>
      <c r="J431" s="22"/>
      <c r="K431" s="22"/>
      <c r="L431" s="22"/>
      <c r="M431" s="22"/>
      <c r="N431" s="22"/>
    </row>
    <row r="432" spans="1:14">
      <c r="A432" s="753" t="s">
        <v>419</v>
      </c>
      <c r="B432" s="753"/>
      <c r="C432" s="753"/>
      <c r="D432" s="45" t="s">
        <v>420</v>
      </c>
      <c r="E432" s="259"/>
      <c r="F432" s="260"/>
      <c r="G432" s="21"/>
      <c r="H432" s="21"/>
      <c r="I432" s="22"/>
      <c r="J432" s="22"/>
      <c r="K432" s="22"/>
      <c r="L432" s="22"/>
      <c r="M432" s="22"/>
      <c r="N432" s="22"/>
    </row>
    <row r="433" spans="1:14" ht="15" customHeight="1">
      <c r="A433" s="754" t="s">
        <v>421</v>
      </c>
      <c r="B433" s="754"/>
      <c r="C433" s="754"/>
      <c r="D433" s="382">
        <f>G162</f>
        <v>75780.653535802965</v>
      </c>
      <c r="E433" s="259"/>
      <c r="F433" s="260"/>
      <c r="G433" s="21"/>
      <c r="H433" s="21"/>
      <c r="I433" s="22"/>
      <c r="J433" s="22"/>
      <c r="K433" s="22"/>
      <c r="L433" s="22"/>
      <c r="M433" s="22"/>
      <c r="N433" s="22"/>
    </row>
    <row r="434" spans="1:14" ht="15" customHeight="1">
      <c r="A434" s="754" t="s">
        <v>422</v>
      </c>
      <c r="B434" s="754"/>
      <c r="C434" s="754"/>
      <c r="D434" s="382">
        <f>E337</f>
        <v>3682.159916666667</v>
      </c>
      <c r="E434" s="259"/>
      <c r="F434" s="260"/>
      <c r="G434" s="21"/>
      <c r="H434" s="21"/>
      <c r="I434" s="22"/>
      <c r="J434" s="22"/>
      <c r="K434" s="22"/>
      <c r="L434" s="22"/>
      <c r="M434" s="22"/>
      <c r="N434" s="22"/>
    </row>
    <row r="435" spans="1:14" ht="15" customHeight="1">
      <c r="A435" s="754" t="s">
        <v>423</v>
      </c>
      <c r="B435" s="754"/>
      <c r="C435" s="754"/>
      <c r="D435" s="382">
        <f>D433+D434</f>
        <v>79462.813452469636</v>
      </c>
      <c r="E435" s="259"/>
      <c r="F435" s="260"/>
      <c r="G435" s="21"/>
      <c r="H435" s="21"/>
      <c r="I435" s="22"/>
      <c r="J435" s="22"/>
      <c r="K435" s="22"/>
      <c r="L435" s="22"/>
      <c r="M435" s="22"/>
      <c r="N435" s="22"/>
    </row>
    <row r="436" spans="1:14" ht="15" customHeight="1">
      <c r="A436" s="754" t="s">
        <v>424</v>
      </c>
      <c r="B436" s="754"/>
      <c r="C436" s="754"/>
      <c r="D436" s="382">
        <f>D435*0.243</f>
        <v>19309.46366895012</v>
      </c>
      <c r="E436" s="259"/>
      <c r="F436" s="260"/>
      <c r="G436" s="21"/>
      <c r="H436" s="21"/>
      <c r="I436" s="22"/>
      <c r="J436" s="22"/>
      <c r="K436" s="22"/>
      <c r="L436" s="22"/>
      <c r="M436" s="22"/>
      <c r="N436" s="22"/>
    </row>
    <row r="437" spans="1:14">
      <c r="A437" s="755" t="s">
        <v>238</v>
      </c>
      <c r="B437" s="755"/>
      <c r="C437" s="755"/>
      <c r="D437" s="383">
        <f>D435+D436</f>
        <v>98772.277121419756</v>
      </c>
      <c r="E437" s="259"/>
      <c r="F437" s="260"/>
      <c r="G437" s="21"/>
      <c r="H437" s="21"/>
      <c r="I437" s="22"/>
      <c r="J437" s="22"/>
      <c r="K437" s="22"/>
      <c r="L437" s="22"/>
      <c r="M437" s="22"/>
      <c r="N437" s="22"/>
    </row>
    <row r="438" spans="1:14">
      <c r="D438" s="259"/>
      <c r="E438" s="259"/>
      <c r="F438" s="260"/>
      <c r="G438" s="21"/>
      <c r="H438" s="21"/>
      <c r="I438" s="22"/>
      <c r="J438" s="22"/>
      <c r="K438" s="22"/>
      <c r="L438" s="22"/>
      <c r="M438" s="22"/>
      <c r="N438" s="22"/>
    </row>
    <row r="439" spans="1:14">
      <c r="A439" s="689" t="s">
        <v>425</v>
      </c>
      <c r="B439" s="689"/>
      <c r="C439" s="689"/>
      <c r="D439" s="689"/>
      <c r="E439" s="689"/>
      <c r="F439" s="689"/>
      <c r="G439" s="689"/>
      <c r="H439" s="689"/>
      <c r="I439" s="22"/>
      <c r="J439" s="22"/>
      <c r="K439" s="22"/>
      <c r="L439" s="22"/>
      <c r="M439" s="22"/>
      <c r="N439" s="22"/>
    </row>
    <row r="440" spans="1:14">
      <c r="A440" s="384"/>
      <c r="B440" s="385"/>
      <c r="C440" s="385"/>
      <c r="D440" s="385"/>
      <c r="E440" s="385"/>
      <c r="F440" s="126"/>
      <c r="G440" s="126"/>
      <c r="H440" s="126"/>
      <c r="I440" s="22"/>
      <c r="J440" s="22"/>
      <c r="K440" s="22"/>
      <c r="L440" s="22"/>
      <c r="M440" s="22"/>
      <c r="N440" s="22"/>
    </row>
    <row r="441" spans="1:14">
      <c r="A441" s="712" t="s">
        <v>426</v>
      </c>
      <c r="B441" s="712"/>
      <c r="C441" s="712"/>
      <c r="D441" s="712"/>
      <c r="E441" s="386" t="s">
        <v>276</v>
      </c>
      <c r="F441" s="260"/>
      <c r="G441" s="21"/>
      <c r="H441" s="21"/>
      <c r="I441" s="22"/>
      <c r="J441" s="22"/>
      <c r="K441" s="22"/>
      <c r="L441" s="22"/>
      <c r="M441" s="22"/>
      <c r="N441" s="22"/>
    </row>
    <row r="442" spans="1:14" ht="24" customHeight="1">
      <c r="A442" s="681" t="s">
        <v>427</v>
      </c>
      <c r="B442" s="681"/>
      <c r="C442" s="681"/>
      <c r="D442" s="681"/>
      <c r="E442" s="628">
        <v>5000</v>
      </c>
      <c r="F442" s="260"/>
      <c r="G442" s="21"/>
      <c r="H442" s="21"/>
      <c r="I442" s="22"/>
      <c r="J442" s="22"/>
      <c r="K442" s="22"/>
      <c r="L442" s="22"/>
      <c r="M442" s="22"/>
      <c r="N442" s="22"/>
    </row>
    <row r="443" spans="1:14">
      <c r="A443" s="259"/>
      <c r="B443" s="259"/>
      <c r="C443" s="259"/>
      <c r="D443" s="259"/>
      <c r="E443" s="259"/>
      <c r="F443" s="260"/>
      <c r="G443" s="21"/>
      <c r="H443" s="21"/>
      <c r="I443" s="22"/>
      <c r="J443" s="22"/>
      <c r="K443" s="22"/>
      <c r="L443" s="22"/>
      <c r="M443" s="22"/>
      <c r="N443" s="22"/>
    </row>
    <row r="444" spans="1:14" ht="57" customHeight="1">
      <c r="A444" s="756" t="s">
        <v>428</v>
      </c>
      <c r="B444" s="756"/>
      <c r="C444" s="756"/>
      <c r="D444" s="756"/>
      <c r="E444" s="756"/>
      <c r="F444" s="756"/>
      <c r="G444" s="756"/>
      <c r="H444" s="756"/>
      <c r="I444" s="22"/>
      <c r="J444" s="22"/>
      <c r="K444" s="22"/>
      <c r="L444" s="22"/>
      <c r="M444" s="22"/>
      <c r="N444" s="22"/>
    </row>
    <row r="445" spans="1:14">
      <c r="A445" s="259"/>
      <c r="B445" s="259"/>
      <c r="C445" s="259"/>
      <c r="D445" s="259"/>
      <c r="E445" s="259"/>
      <c r="F445" s="260"/>
      <c r="G445" s="21"/>
      <c r="H445" s="21"/>
      <c r="I445" s="22"/>
      <c r="J445" s="22"/>
      <c r="K445" s="22"/>
      <c r="L445" s="22"/>
      <c r="M445" s="22"/>
      <c r="N445" s="22"/>
    </row>
    <row r="446" spans="1:14" ht="14.25" customHeight="1">
      <c r="A446" s="757" t="s">
        <v>429</v>
      </c>
      <c r="B446" s="757"/>
      <c r="C446" s="757"/>
      <c r="D446" s="757"/>
      <c r="E446" s="757"/>
      <c r="F446" s="757"/>
      <c r="G446" s="757"/>
      <c r="H446" s="757"/>
      <c r="I446" s="22"/>
      <c r="J446" s="22"/>
      <c r="K446" s="22"/>
      <c r="L446" s="22"/>
      <c r="M446" s="22"/>
      <c r="N446" s="22"/>
    </row>
    <row r="447" spans="1:14" ht="14.25" customHeight="1">
      <c r="A447" s="130"/>
      <c r="B447" s="130"/>
      <c r="C447" s="130"/>
      <c r="D447" s="130"/>
      <c r="E447" s="130"/>
      <c r="F447" s="21"/>
      <c r="G447" s="21"/>
      <c r="H447" s="21"/>
      <c r="I447" s="22"/>
      <c r="J447" s="22"/>
      <c r="K447" s="22"/>
      <c r="L447" s="22"/>
      <c r="M447" s="22"/>
      <c r="N447" s="22"/>
    </row>
    <row r="448" spans="1:14" ht="14.25" customHeight="1">
      <c r="A448" s="45" t="s">
        <v>419</v>
      </c>
      <c r="B448" s="135" t="s">
        <v>430</v>
      </c>
      <c r="C448" s="388"/>
      <c r="D448" s="45" t="s">
        <v>431</v>
      </c>
      <c r="E448" s="45" t="s">
        <v>432</v>
      </c>
      <c r="F448" s="45" t="s">
        <v>433</v>
      </c>
      <c r="G448" s="21"/>
      <c r="H448" s="21"/>
      <c r="I448" s="22"/>
      <c r="J448" s="22"/>
      <c r="K448" s="22"/>
      <c r="L448" s="22"/>
      <c r="M448" s="22"/>
      <c r="N448" s="22"/>
    </row>
    <row r="449" spans="1:14" ht="14.25" customHeight="1">
      <c r="A449" s="203" t="s">
        <v>434</v>
      </c>
      <c r="B449" s="662" t="s">
        <v>435</v>
      </c>
      <c r="C449" s="662"/>
      <c r="D449" s="662"/>
      <c r="E449" s="662"/>
      <c r="F449" s="662"/>
      <c r="G449" s="21"/>
      <c r="H449" s="21"/>
      <c r="I449" s="22"/>
      <c r="J449" s="22"/>
      <c r="K449" s="22"/>
      <c r="L449" s="22"/>
      <c r="M449" s="22"/>
      <c r="N449" s="22"/>
    </row>
    <row r="450" spans="1:14" ht="14.25" customHeight="1">
      <c r="A450" s="203" t="s">
        <v>436</v>
      </c>
      <c r="B450" s="389" t="s">
        <v>437</v>
      </c>
      <c r="C450" s="390"/>
      <c r="D450" s="391">
        <f>H139</f>
        <v>18</v>
      </c>
      <c r="E450" s="392">
        <f>'Mão de obra'!C83</f>
        <v>4272.5267617805639</v>
      </c>
      <c r="F450" s="392">
        <f>D450*E450</f>
        <v>76905.481712050154</v>
      </c>
      <c r="G450" s="21"/>
      <c r="H450" s="21"/>
      <c r="I450" s="22"/>
      <c r="J450" s="22"/>
      <c r="K450" s="22"/>
      <c r="L450" s="22"/>
      <c r="M450" s="22"/>
      <c r="N450" s="22"/>
    </row>
    <row r="451" spans="1:14" ht="14.25" customHeight="1">
      <c r="A451" s="203" t="s">
        <v>438</v>
      </c>
      <c r="B451" s="725" t="s">
        <v>439</v>
      </c>
      <c r="C451" s="725"/>
      <c r="D451" s="393">
        <f>H138</f>
        <v>9</v>
      </c>
      <c r="E451" s="392">
        <f>'Mão de obra'!C163</f>
        <v>7650.0398713429486</v>
      </c>
      <c r="F451" s="392">
        <f>D451*E451</f>
        <v>68850.358842086542</v>
      </c>
      <c r="G451" s="21"/>
      <c r="H451" s="21"/>
      <c r="I451" s="22"/>
      <c r="J451" s="22"/>
      <c r="K451" s="22"/>
      <c r="L451" s="22"/>
      <c r="M451" s="22"/>
      <c r="N451" s="22"/>
    </row>
    <row r="452" spans="1:14" ht="14.25" customHeight="1">
      <c r="A452" s="203" t="s">
        <v>440</v>
      </c>
      <c r="B452" s="758" t="s">
        <v>441</v>
      </c>
      <c r="C452" s="758"/>
      <c r="D452" s="393">
        <f>H138</f>
        <v>9</v>
      </c>
      <c r="E452" s="392">
        <f>E451*0.877</f>
        <v>6709.0849671677661</v>
      </c>
      <c r="F452" s="392">
        <f>D452*E452</f>
        <v>60381.764704509893</v>
      </c>
      <c r="G452" s="21"/>
      <c r="H452" s="21"/>
      <c r="I452" s="22"/>
      <c r="J452" s="22"/>
      <c r="K452" s="22"/>
      <c r="L452" s="22"/>
      <c r="M452" s="22"/>
      <c r="N452" s="22"/>
    </row>
    <row r="453" spans="1:14" ht="14.25" customHeight="1">
      <c r="A453" s="203" t="s">
        <v>442</v>
      </c>
      <c r="B453" s="389" t="s">
        <v>132</v>
      </c>
      <c r="C453" s="390"/>
      <c r="D453" s="391">
        <f>H140</f>
        <v>2</v>
      </c>
      <c r="E453" s="392">
        <f>'Mão de obra'!C243</f>
        <v>7650.0398713429486</v>
      </c>
      <c r="F453" s="392">
        <f>D453*E453</f>
        <v>15300.079742685897</v>
      </c>
      <c r="G453" s="21"/>
      <c r="H453" s="21"/>
      <c r="I453" s="22"/>
      <c r="J453" s="22"/>
      <c r="K453" s="22"/>
      <c r="L453" s="22"/>
      <c r="M453" s="22"/>
      <c r="N453" s="22"/>
    </row>
    <row r="454" spans="1:14" ht="14.25" customHeight="1">
      <c r="A454" s="203" t="s">
        <v>443</v>
      </c>
      <c r="B454" s="662" t="s">
        <v>444</v>
      </c>
      <c r="C454" s="662"/>
      <c r="D454" s="662"/>
      <c r="E454" s="662"/>
      <c r="F454" s="662"/>
      <c r="G454" s="21"/>
      <c r="H454" s="21"/>
      <c r="I454" s="22"/>
      <c r="J454" s="22"/>
      <c r="K454" s="22"/>
      <c r="L454" s="22"/>
      <c r="M454" s="22"/>
      <c r="N454" s="22"/>
    </row>
    <row r="455" spans="1:14" ht="14.25" customHeight="1">
      <c r="A455" s="203" t="s">
        <v>445</v>
      </c>
      <c r="B455" s="389" t="s">
        <v>446</v>
      </c>
      <c r="C455" s="390"/>
      <c r="D455" s="393">
        <v>1</v>
      </c>
      <c r="E455" s="392">
        <f>'Mão de obra'!C320</f>
        <v>3020.0024650382447</v>
      </c>
      <c r="F455" s="392">
        <f>D455*E455</f>
        <v>3020.0024650382447</v>
      </c>
      <c r="G455" s="21"/>
      <c r="H455" s="21"/>
      <c r="I455" s="22"/>
      <c r="J455" s="22"/>
      <c r="K455" s="22"/>
      <c r="L455" s="22"/>
      <c r="M455" s="22"/>
      <c r="N455" s="22"/>
    </row>
    <row r="456" spans="1:14" ht="14.25" customHeight="1">
      <c r="A456" s="26"/>
      <c r="B456" s="759" t="s">
        <v>238</v>
      </c>
      <c r="C456" s="759"/>
      <c r="D456" s="759"/>
      <c r="E456" s="759"/>
      <c r="F456" s="394">
        <f>SUM(F450:F455)</f>
        <v>224457.68746637073</v>
      </c>
      <c r="G456" s="21"/>
      <c r="H456" s="21"/>
      <c r="I456" s="22"/>
      <c r="J456" s="22"/>
      <c r="K456" s="22"/>
      <c r="L456" s="22"/>
      <c r="M456" s="22"/>
      <c r="N456" s="22"/>
    </row>
    <row r="457" spans="1:14" ht="14.25" customHeight="1">
      <c r="A457" s="26"/>
      <c r="B457" s="759" t="s">
        <v>153</v>
      </c>
      <c r="C457" s="759"/>
      <c r="D457" s="759"/>
      <c r="E457" s="759"/>
      <c r="F457" s="394">
        <f>F456/G32</f>
        <v>148.64747514329187</v>
      </c>
      <c r="G457" s="21"/>
      <c r="H457" s="21"/>
      <c r="I457" s="22"/>
      <c r="J457" s="22"/>
      <c r="K457" s="22"/>
      <c r="L457" s="22"/>
      <c r="M457" s="22"/>
      <c r="N457" s="22"/>
    </row>
    <row r="458" spans="1:14" ht="14.25" customHeight="1">
      <c r="A458" s="192"/>
      <c r="B458" s="395"/>
      <c r="C458" s="395"/>
      <c r="D458" s="395"/>
      <c r="E458" s="395"/>
      <c r="F458" s="396"/>
      <c r="G458" s="21"/>
      <c r="H458" s="21"/>
      <c r="I458" s="22"/>
      <c r="J458" s="22"/>
      <c r="K458" s="22"/>
      <c r="L458" s="22"/>
      <c r="M458" s="22"/>
      <c r="N458" s="22"/>
    </row>
    <row r="459" spans="1:14" ht="14.25" customHeight="1">
      <c r="A459" s="757" t="s">
        <v>447</v>
      </c>
      <c r="B459" s="757"/>
      <c r="C459" s="757"/>
      <c r="D459" s="757"/>
      <c r="E459" s="757"/>
      <c r="F459" s="757"/>
      <c r="G459" s="757"/>
      <c r="H459" s="757"/>
      <c r="I459" s="22"/>
      <c r="J459" s="22"/>
      <c r="K459" s="22"/>
      <c r="L459" s="22"/>
      <c r="M459" s="22"/>
      <c r="N459" s="22"/>
    </row>
    <row r="460" spans="1:14" ht="14.25" customHeight="1">
      <c r="A460" s="192"/>
      <c r="B460" s="395"/>
      <c r="C460" s="395"/>
      <c r="D460" s="395"/>
      <c r="E460" s="395"/>
      <c r="F460" s="396"/>
      <c r="G460" s="21"/>
      <c r="H460" s="21"/>
      <c r="I460" s="22"/>
      <c r="J460" s="22"/>
      <c r="K460" s="22"/>
      <c r="L460" s="22"/>
      <c r="M460" s="22"/>
      <c r="N460" s="22"/>
    </row>
    <row r="461" spans="1:14" ht="15" customHeight="1">
      <c r="A461" s="45" t="s">
        <v>419</v>
      </c>
      <c r="B461" s="662" t="s">
        <v>448</v>
      </c>
      <c r="C461" s="662"/>
      <c r="D461" s="662"/>
      <c r="E461" s="397" t="s">
        <v>276</v>
      </c>
      <c r="F461" s="25" t="s">
        <v>449</v>
      </c>
      <c r="G461" s="398" t="s">
        <v>450</v>
      </c>
      <c r="H461" s="21"/>
      <c r="I461" s="22"/>
      <c r="J461" s="22"/>
      <c r="K461" s="22"/>
      <c r="L461" s="22"/>
      <c r="M461" s="22"/>
      <c r="N461" s="22"/>
    </row>
    <row r="462" spans="1:14" ht="14.25" customHeight="1">
      <c r="A462" s="27" t="s">
        <v>451</v>
      </c>
      <c r="B462" s="662" t="s">
        <v>452</v>
      </c>
      <c r="C462" s="662"/>
      <c r="D462" s="662"/>
      <c r="E462" s="399">
        <f>D435</f>
        <v>79462.813452469636</v>
      </c>
      <c r="F462" s="399">
        <f>E462*(1+BDI!$B$12)</f>
        <v>99629.927487303314</v>
      </c>
      <c r="G462" s="394">
        <f>F462/G32</f>
        <v>65.980084428677685</v>
      </c>
      <c r="H462" s="21"/>
      <c r="I462" s="22"/>
      <c r="J462" s="22"/>
      <c r="K462" s="22"/>
      <c r="L462" s="22"/>
      <c r="M462" s="22"/>
      <c r="N462" s="22"/>
    </row>
    <row r="463" spans="1:14" ht="14.25" customHeight="1">
      <c r="A463" s="27" t="s">
        <v>453</v>
      </c>
      <c r="B463" s="662" t="s">
        <v>454</v>
      </c>
      <c r="C463" s="662"/>
      <c r="D463" s="662"/>
      <c r="E463" s="399">
        <f>E442</f>
        <v>5000</v>
      </c>
      <c r="F463" s="399">
        <f>E463*(1+BDI!$B$12)</f>
        <v>6268.9655172413795</v>
      </c>
      <c r="G463" s="394">
        <f>F463/G32</f>
        <v>4.1516327928750858</v>
      </c>
      <c r="H463" s="21"/>
      <c r="I463" s="22"/>
      <c r="J463" s="22"/>
      <c r="K463" s="22"/>
      <c r="L463" s="22"/>
      <c r="M463" s="22"/>
      <c r="N463" s="22"/>
    </row>
    <row r="464" spans="1:14" ht="14.25" customHeight="1">
      <c r="A464" s="27" t="s">
        <v>455</v>
      </c>
      <c r="B464" s="662" t="s">
        <v>456</v>
      </c>
      <c r="C464" s="662"/>
      <c r="D464" s="662"/>
      <c r="E464" s="399"/>
      <c r="F464" s="399">
        <f>F456</f>
        <v>224457.68746637073</v>
      </c>
      <c r="G464" s="394">
        <f>F464/G32</f>
        <v>148.64747514329187</v>
      </c>
      <c r="H464" s="21"/>
      <c r="I464" s="22"/>
      <c r="J464" s="22"/>
      <c r="K464" s="22"/>
      <c r="L464" s="22"/>
      <c r="M464" s="22"/>
      <c r="N464" s="22"/>
    </row>
    <row r="465" spans="1:14" ht="14.25" customHeight="1">
      <c r="A465" s="27"/>
      <c r="B465" s="660" t="s">
        <v>102</v>
      </c>
      <c r="C465" s="660"/>
      <c r="D465" s="660"/>
      <c r="E465" s="660"/>
      <c r="F465" s="660"/>
      <c r="G465" s="394">
        <f>SUM(G462:G464)</f>
        <v>218.77919236484465</v>
      </c>
      <c r="H465" s="21"/>
      <c r="I465" s="22"/>
      <c r="J465" s="22"/>
      <c r="K465" s="22"/>
      <c r="L465" s="22"/>
      <c r="M465" s="22"/>
      <c r="N465" s="22"/>
    </row>
    <row r="466" spans="1:14" ht="14.25" customHeight="1">
      <c r="A466" s="81"/>
      <c r="B466" s="395"/>
      <c r="C466" s="259"/>
      <c r="D466" s="395"/>
      <c r="E466" s="395"/>
      <c r="F466" s="396"/>
      <c r="G466" s="21"/>
      <c r="H466" s="21"/>
      <c r="I466" s="22"/>
      <c r="J466" s="22"/>
      <c r="K466" s="22"/>
      <c r="L466" s="22"/>
      <c r="M466" s="22"/>
      <c r="N466" s="22"/>
    </row>
    <row r="467" spans="1:14">
      <c r="A467" s="82"/>
      <c r="B467" s="82"/>
      <c r="C467" s="82"/>
      <c r="D467" s="82"/>
      <c r="E467" s="82"/>
      <c r="F467" s="381"/>
      <c r="G467" s="113"/>
      <c r="H467" s="113"/>
      <c r="I467" s="22"/>
      <c r="J467" s="400"/>
      <c r="K467" s="401"/>
      <c r="L467" s="237"/>
      <c r="M467" s="22"/>
      <c r="N467" s="22"/>
    </row>
    <row r="468" spans="1:14" s="193" customFormat="1">
      <c r="A468" s="689" t="s">
        <v>457</v>
      </c>
      <c r="B468" s="689"/>
      <c r="C468" s="689"/>
      <c r="D468" s="689"/>
      <c r="E468" s="689"/>
      <c r="F468" s="689"/>
      <c r="G468" s="689"/>
      <c r="H468" s="689"/>
      <c r="I468" s="320"/>
      <c r="J468" s="237"/>
      <c r="K468" s="237"/>
      <c r="L468" s="237"/>
      <c r="M468" s="320"/>
      <c r="N468" s="320"/>
    </row>
    <row r="469" spans="1:14" s="193" customFormat="1">
      <c r="A469" s="113"/>
      <c r="B469" s="113"/>
      <c r="C469" s="87"/>
      <c r="D469" s="156"/>
      <c r="E469" s="113"/>
      <c r="F469" s="113"/>
      <c r="G469" s="113"/>
      <c r="H469" s="126"/>
      <c r="I469" s="237"/>
      <c r="J469" s="237"/>
      <c r="K469" s="237"/>
      <c r="L469" s="237"/>
      <c r="M469" s="320"/>
      <c r="N469" s="320"/>
    </row>
    <row r="470" spans="1:14" s="216" customFormat="1">
      <c r="A470" s="662" t="s">
        <v>458</v>
      </c>
      <c r="B470" s="662"/>
      <c r="C470" s="662"/>
      <c r="D470" s="651">
        <f>E128</f>
        <v>5743.5560000000005</v>
      </c>
      <c r="E470" s="93" t="s">
        <v>229</v>
      </c>
      <c r="F470" s="115"/>
      <c r="G470" s="113"/>
      <c r="H470" s="126"/>
      <c r="I470" s="402"/>
      <c r="J470" s="403"/>
      <c r="L470" s="237"/>
      <c r="N470" s="237"/>
    </row>
    <row r="471" spans="1:14" s="216" customFormat="1">
      <c r="A471" s="662" t="s">
        <v>459</v>
      </c>
      <c r="B471" s="662"/>
      <c r="C471" s="662"/>
      <c r="D471" s="404">
        <v>4</v>
      </c>
      <c r="E471" s="93" t="s">
        <v>460</v>
      </c>
      <c r="F471" s="115"/>
      <c r="G471" s="113"/>
      <c r="H471" s="126"/>
      <c r="I471" s="402"/>
      <c r="J471" s="403"/>
      <c r="L471" s="237"/>
      <c r="N471" s="237"/>
    </row>
    <row r="472" spans="1:14" s="216" customFormat="1" ht="26.25" customHeight="1">
      <c r="A472" s="745" t="s">
        <v>461</v>
      </c>
      <c r="B472" s="745"/>
      <c r="C472" s="745"/>
      <c r="D472" s="745"/>
      <c r="E472" s="745"/>
      <c r="F472" s="745"/>
      <c r="G472" s="745"/>
      <c r="H472" s="745"/>
      <c r="I472" s="402"/>
      <c r="J472" s="403"/>
      <c r="L472" s="237"/>
      <c r="N472" s="237"/>
    </row>
    <row r="473" spans="1:14" s="216" customFormat="1">
      <c r="A473" s="406"/>
      <c r="B473" s="407"/>
      <c r="C473" s="408"/>
      <c r="D473" s="409"/>
      <c r="E473" s="113"/>
      <c r="F473" s="317"/>
      <c r="G473" s="113"/>
      <c r="H473" s="126"/>
      <c r="I473" s="402"/>
      <c r="J473" s="403"/>
      <c r="L473" s="237"/>
      <c r="N473" s="237"/>
    </row>
    <row r="474" spans="1:14" s="216" customFormat="1" ht="24.75" customHeight="1">
      <c r="A474" s="760" t="s">
        <v>462</v>
      </c>
      <c r="B474" s="760"/>
      <c r="C474" s="760"/>
      <c r="D474" s="760"/>
      <c r="E474" s="760"/>
      <c r="F474" s="760"/>
      <c r="G474" s="760"/>
      <c r="H474" s="760"/>
      <c r="I474" s="402"/>
      <c r="J474" s="403"/>
      <c r="L474" s="237"/>
      <c r="N474" s="237"/>
    </row>
    <row r="475" spans="1:14" s="216" customFormat="1" ht="15" customHeight="1">
      <c r="A475" s="410"/>
      <c r="B475" s="410"/>
      <c r="C475" s="410"/>
      <c r="D475" s="410"/>
      <c r="E475" s="410"/>
      <c r="F475" s="410"/>
      <c r="G475" s="410"/>
      <c r="H475" s="410"/>
      <c r="I475" s="402"/>
      <c r="J475" s="403"/>
      <c r="L475" s="237"/>
      <c r="N475" s="237"/>
    </row>
    <row r="476" spans="1:14" s="216" customFormat="1" ht="15" customHeight="1">
      <c r="A476" s="761" t="s">
        <v>463</v>
      </c>
      <c r="B476" s="761"/>
      <c r="C476" s="761"/>
      <c r="D476" s="761"/>
      <c r="E476" s="761"/>
      <c r="F476" s="761"/>
      <c r="G476" s="761"/>
      <c r="H476" s="761"/>
      <c r="I476" s="402"/>
      <c r="J476" s="403"/>
      <c r="L476" s="237"/>
      <c r="N476" s="237"/>
    </row>
    <row r="477" spans="1:14" s="216" customFormat="1" ht="15" customHeight="1">
      <c r="A477" s="410"/>
      <c r="B477" s="410"/>
      <c r="C477" s="410"/>
      <c r="D477" s="410"/>
      <c r="E477" s="410"/>
      <c r="F477" s="410"/>
      <c r="G477" s="410"/>
      <c r="H477" s="410"/>
      <c r="I477" s="402"/>
      <c r="J477" s="403"/>
      <c r="L477" s="237"/>
      <c r="N477" s="237"/>
    </row>
    <row r="478" spans="1:14" s="216" customFormat="1">
      <c r="A478" s="1" t="s">
        <v>464</v>
      </c>
      <c r="B478" s="21"/>
      <c r="C478" s="21"/>
      <c r="D478" s="21"/>
      <c r="E478" s="734">
        <f>D484</f>
        <v>6984.1640960000004</v>
      </c>
      <c r="F478" s="734"/>
      <c r="G478" s="21"/>
      <c r="H478" s="130"/>
      <c r="I478" s="411"/>
      <c r="J478" s="411"/>
      <c r="L478" s="237"/>
      <c r="N478" s="237"/>
    </row>
    <row r="479" spans="1:14" s="414" customFormat="1">
      <c r="A479" s="156" t="s">
        <v>727</v>
      </c>
      <c r="B479" s="156"/>
      <c r="C479" s="156"/>
      <c r="D479" s="156"/>
      <c r="E479" s="594"/>
      <c r="F479" s="594"/>
      <c r="G479" s="156"/>
      <c r="H479" s="192"/>
      <c r="I479" s="411"/>
      <c r="J479" s="411"/>
      <c r="L479" s="318"/>
      <c r="N479" s="318"/>
    </row>
    <row r="480" spans="1:14" s="216" customFormat="1">
      <c r="A480" s="156" t="s">
        <v>728</v>
      </c>
      <c r="B480" s="21"/>
      <c r="C480" s="21"/>
      <c r="D480" s="21"/>
      <c r="E480" s="21"/>
      <c r="F480" s="21"/>
      <c r="G480" s="21"/>
      <c r="H480" s="126"/>
      <c r="I480" s="412"/>
      <c r="J480" s="413"/>
      <c r="L480" s="237"/>
      <c r="N480" s="237"/>
    </row>
    <row r="481" spans="1:14">
      <c r="A481" s="679" t="s">
        <v>273</v>
      </c>
      <c r="B481" s="679"/>
      <c r="C481" s="679"/>
      <c r="D481" s="622">
        <v>3.6480000000000001</v>
      </c>
      <c r="E481" s="21"/>
      <c r="F481" s="21"/>
      <c r="G481" s="21"/>
      <c r="H481" s="130"/>
      <c r="I481" s="22"/>
      <c r="J481" s="22"/>
      <c r="K481" s="22"/>
      <c r="L481" s="22"/>
      <c r="M481" s="22"/>
      <c r="N481" s="22"/>
    </row>
    <row r="482" spans="1:14" s="414" customFormat="1">
      <c r="A482" s="679" t="s">
        <v>274</v>
      </c>
      <c r="B482" s="679"/>
      <c r="C482" s="679"/>
      <c r="D482" s="623">
        <v>3</v>
      </c>
      <c r="E482" s="21"/>
      <c r="F482" s="21"/>
      <c r="G482" s="21"/>
      <c r="H482" s="130"/>
      <c r="I482" s="318"/>
      <c r="J482" s="318"/>
      <c r="K482" s="318"/>
      <c r="L482" s="318"/>
      <c r="M482" s="318"/>
      <c r="N482" s="318"/>
    </row>
    <row r="483" spans="1:14" s="414" customFormat="1">
      <c r="A483" s="679" t="s">
        <v>275</v>
      </c>
      <c r="B483" s="679"/>
      <c r="C483" s="679"/>
      <c r="D483" s="47">
        <f>D470/D482</f>
        <v>1914.5186666666668</v>
      </c>
      <c r="E483" s="21"/>
      <c r="F483" s="21"/>
      <c r="G483" s="21"/>
      <c r="H483" s="130"/>
      <c r="I483" s="318"/>
      <c r="J483" s="318"/>
      <c r="K483" s="318"/>
      <c r="L483" s="318"/>
      <c r="M483" s="318"/>
      <c r="N483" s="318"/>
    </row>
    <row r="484" spans="1:14" s="414" customFormat="1">
      <c r="A484" s="662" t="s">
        <v>465</v>
      </c>
      <c r="B484" s="662"/>
      <c r="C484" s="662"/>
      <c r="D484" s="264">
        <f>D483*D481</f>
        <v>6984.1640960000004</v>
      </c>
      <c r="E484" s="21"/>
      <c r="F484" s="21"/>
      <c r="G484" s="21"/>
      <c r="H484" s="130"/>
      <c r="I484" s="318"/>
      <c r="J484" s="318"/>
      <c r="K484" s="318"/>
      <c r="L484" s="318"/>
      <c r="M484" s="318"/>
      <c r="N484" s="318"/>
    </row>
    <row r="485" spans="1:14" s="414" customFormat="1">
      <c r="A485" s="662" t="s">
        <v>372</v>
      </c>
      <c r="B485" s="662"/>
      <c r="C485" s="662"/>
      <c r="D485" s="264">
        <f>D484/D471</f>
        <v>1746.0410240000001</v>
      </c>
      <c r="E485" s="21"/>
      <c r="F485" s="21"/>
      <c r="G485" s="21"/>
      <c r="H485" s="130"/>
      <c r="I485" s="318"/>
      <c r="J485" s="318"/>
      <c r="K485" s="318"/>
      <c r="L485" s="318"/>
      <c r="M485" s="318"/>
      <c r="N485" s="318"/>
    </row>
    <row r="486" spans="1:14" s="414" customFormat="1" ht="15" customHeight="1">
      <c r="A486" s="415"/>
      <c r="B486" s="415"/>
      <c r="C486" s="416"/>
      <c r="D486" s="417"/>
      <c r="E486" s="417"/>
      <c r="F486" s="234"/>
      <c r="G486" s="130"/>
      <c r="H486" s="130"/>
      <c r="I486" s="318"/>
      <c r="J486" s="318"/>
      <c r="K486" s="318"/>
      <c r="L486" s="318"/>
      <c r="M486" s="318"/>
      <c r="N486" s="318"/>
    </row>
    <row r="487" spans="1:14" s="414" customFormat="1" ht="15" customHeight="1">
      <c r="A487" s="1" t="s">
        <v>466</v>
      </c>
      <c r="B487" s="21"/>
      <c r="C487" s="21"/>
      <c r="D487" s="21"/>
      <c r="E487" s="738">
        <f>E500</f>
        <v>1325.2150940000001</v>
      </c>
      <c r="F487" s="738"/>
      <c r="G487" s="130"/>
      <c r="H487" s="130"/>
      <c r="I487" s="318"/>
      <c r="J487" s="318"/>
      <c r="K487" s="318"/>
      <c r="L487" s="318"/>
      <c r="M487" s="318"/>
      <c r="N487" s="318"/>
    </row>
    <row r="488" spans="1:14" s="414" customFormat="1" ht="15" customHeight="1">
      <c r="A488" s="21" t="s">
        <v>284</v>
      </c>
      <c r="B488" s="21"/>
      <c r="C488" s="21"/>
      <c r="D488" s="21"/>
      <c r="E488" s="21"/>
      <c r="F488" s="21"/>
      <c r="G488" s="130"/>
      <c r="H488" s="130"/>
      <c r="I488" s="318"/>
      <c r="J488" s="318"/>
      <c r="K488" s="318"/>
      <c r="L488" s="318"/>
      <c r="M488" s="318"/>
      <c r="N488" s="318"/>
    </row>
    <row r="489" spans="1:14" s="414" customFormat="1" ht="15" customHeight="1">
      <c r="A489" s="21" t="s">
        <v>285</v>
      </c>
      <c r="B489" s="21"/>
      <c r="C489" s="363">
        <f>C204</f>
        <v>1800</v>
      </c>
      <c r="D489" s="21"/>
      <c r="E489" s="21"/>
      <c r="F489" s="21"/>
      <c r="G489" s="130"/>
      <c r="H489" s="130"/>
      <c r="I489" s="318"/>
      <c r="J489" s="318"/>
      <c r="K489" s="318"/>
      <c r="L489" s="318"/>
      <c r="M489" s="318"/>
      <c r="N489" s="318"/>
    </row>
    <row r="490" spans="1:14" s="414" customFormat="1" ht="15" customHeight="1">
      <c r="A490" s="21" t="s">
        <v>467</v>
      </c>
      <c r="B490" s="21"/>
      <c r="C490" s="21"/>
      <c r="D490" s="21"/>
      <c r="E490" s="21"/>
      <c r="F490" s="21"/>
      <c r="G490" s="130"/>
      <c r="H490" s="130"/>
      <c r="I490" s="318"/>
      <c r="J490" s="318"/>
      <c r="K490" s="318"/>
      <c r="L490" s="318"/>
      <c r="M490" s="318"/>
      <c r="N490" s="318"/>
    </row>
    <row r="491" spans="1:14" s="414" customFormat="1">
      <c r="A491" s="272" t="s">
        <v>287</v>
      </c>
      <c r="B491" s="272"/>
      <c r="C491" s="270">
        <v>2</v>
      </c>
      <c r="D491" s="272"/>
      <c r="E491" s="272"/>
      <c r="F491" s="272"/>
      <c r="G491" s="130"/>
      <c r="H491" s="130"/>
      <c r="I491" s="318"/>
      <c r="J491" s="318"/>
      <c r="K491" s="318"/>
      <c r="L491" s="318"/>
      <c r="M491" s="318"/>
      <c r="N491" s="318"/>
    </row>
    <row r="492" spans="1:14" s="414" customFormat="1">
      <c r="A492" s="272" t="s">
        <v>288</v>
      </c>
      <c r="B492" s="272"/>
      <c r="C492" s="270">
        <v>6</v>
      </c>
      <c r="D492" s="272"/>
      <c r="E492" s="272"/>
      <c r="F492" s="272"/>
      <c r="G492" s="130"/>
      <c r="H492" s="130"/>
      <c r="I492" s="318"/>
      <c r="J492" s="318"/>
      <c r="K492" s="318"/>
      <c r="L492" s="318"/>
      <c r="M492" s="318"/>
      <c r="N492" s="318"/>
    </row>
    <row r="493" spans="1:14" s="414" customFormat="1">
      <c r="A493" s="21" t="s">
        <v>468</v>
      </c>
      <c r="B493" s="21"/>
      <c r="C493" s="21"/>
      <c r="D493" s="21"/>
      <c r="E493" s="21"/>
      <c r="F493" s="21"/>
      <c r="G493" s="130"/>
      <c r="H493" s="130"/>
      <c r="I493" s="318"/>
      <c r="J493" s="318"/>
      <c r="K493" s="318"/>
      <c r="L493" s="318"/>
      <c r="M493" s="318"/>
      <c r="N493" s="318"/>
    </row>
    <row r="494" spans="1:14" s="414" customFormat="1">
      <c r="A494" s="192" t="s">
        <v>290</v>
      </c>
      <c r="B494" s="192"/>
      <c r="C494" s="418">
        <v>599</v>
      </c>
      <c r="D494" s="273"/>
      <c r="E494" s="274"/>
      <c r="F494" s="273"/>
      <c r="G494" s="130"/>
      <c r="H494" s="130"/>
      <c r="I494" s="318"/>
      <c r="J494" s="318"/>
      <c r="K494" s="318"/>
      <c r="L494" s="318"/>
      <c r="M494" s="318"/>
      <c r="N494" s="318"/>
    </row>
    <row r="495" spans="1:14">
      <c r="A495" s="100" t="s">
        <v>291</v>
      </c>
      <c r="B495" s="93"/>
      <c r="C495" s="93"/>
      <c r="D495" s="93"/>
      <c r="E495" s="101"/>
      <c r="F495" s="101"/>
      <c r="G495" s="130"/>
      <c r="H495" s="130"/>
      <c r="I495" s="22"/>
      <c r="J495" s="22"/>
      <c r="K495" s="22"/>
      <c r="L495" s="22"/>
      <c r="M495" s="22"/>
      <c r="N495" s="22"/>
    </row>
    <row r="496" spans="1:14">
      <c r="A496" s="93" t="s">
        <v>292</v>
      </c>
      <c r="B496" s="93"/>
      <c r="C496" s="93"/>
      <c r="D496" s="93"/>
      <c r="E496" s="101"/>
      <c r="F496" s="101"/>
      <c r="G496" s="130"/>
      <c r="H496" s="130"/>
      <c r="I496" s="22"/>
      <c r="J496" s="22"/>
      <c r="K496" s="22"/>
      <c r="L496" s="22"/>
      <c r="M496" s="22"/>
      <c r="N496" s="22"/>
    </row>
    <row r="497" spans="1:14">
      <c r="A497" s="115" t="s">
        <v>729</v>
      </c>
      <c r="B497" s="93"/>
      <c r="C497" s="93"/>
      <c r="D497" s="276">
        <f>(6*C489+2*C494)/(20000+2*16000)</f>
        <v>0.23073076923076924</v>
      </c>
      <c r="E497" s="21"/>
      <c r="F497" s="94"/>
      <c r="G497" s="130"/>
      <c r="H497" s="130"/>
      <c r="I497" s="22"/>
      <c r="J497" s="22"/>
      <c r="K497" s="22"/>
      <c r="L497" s="22"/>
      <c r="M497" s="22"/>
      <c r="N497" s="22"/>
    </row>
    <row r="498" spans="1:14">
      <c r="A498" s="21"/>
      <c r="B498" s="21"/>
      <c r="C498" s="21"/>
      <c r="D498" s="21"/>
      <c r="E498" s="21"/>
      <c r="F498" s="21"/>
      <c r="G498" s="130"/>
      <c r="H498" s="130"/>
      <c r="I498" s="22"/>
      <c r="J498" s="22"/>
      <c r="K498" s="22"/>
      <c r="L498" s="22"/>
      <c r="M498" s="22"/>
      <c r="N498" s="22"/>
    </row>
    <row r="499" spans="1:14" ht="15" customHeight="1">
      <c r="A499" s="737" t="s">
        <v>469</v>
      </c>
      <c r="B499" s="737"/>
      <c r="C499" s="737"/>
      <c r="D499" s="737"/>
      <c r="E499" s="252">
        <f>D497*D470/D471</f>
        <v>331.30377350000003</v>
      </c>
      <c r="F499" s="277"/>
      <c r="G499" s="130"/>
      <c r="H499" s="130"/>
      <c r="I499" s="22"/>
      <c r="J499" s="22"/>
      <c r="K499" s="22"/>
      <c r="L499" s="22"/>
      <c r="M499" s="22"/>
      <c r="N499" s="22"/>
    </row>
    <row r="500" spans="1:14">
      <c r="A500" s="683" t="s">
        <v>465</v>
      </c>
      <c r="B500" s="683"/>
      <c r="C500" s="683"/>
      <c r="D500" s="683"/>
      <c r="E500" s="252">
        <f>E499*D471</f>
        <v>1325.2150940000001</v>
      </c>
      <c r="F500" s="70"/>
      <c r="G500" s="130"/>
      <c r="H500" s="130"/>
      <c r="I500" s="22"/>
      <c r="J500" s="22"/>
      <c r="K500" s="22"/>
      <c r="L500" s="22"/>
      <c r="M500" s="22"/>
      <c r="N500" s="22"/>
    </row>
    <row r="501" spans="1:14">
      <c r="A501" s="130"/>
      <c r="B501" s="130"/>
      <c r="C501" s="130"/>
      <c r="D501" s="130"/>
      <c r="E501" s="130"/>
      <c r="F501" s="130"/>
      <c r="G501" s="130"/>
      <c r="H501" s="130"/>
      <c r="I501" s="22"/>
      <c r="J501" s="22"/>
      <c r="K501" s="22"/>
      <c r="L501" s="22"/>
      <c r="M501" s="22"/>
      <c r="N501" s="22"/>
    </row>
    <row r="502" spans="1:14" ht="15" customHeight="1">
      <c r="A502" s="1" t="s">
        <v>470</v>
      </c>
      <c r="B502" s="21"/>
      <c r="C502" s="21"/>
      <c r="D502" s="21"/>
      <c r="E502" s="738">
        <f>E510+E520+E529+E536</f>
        <v>494.3304108914889</v>
      </c>
      <c r="F502" s="738"/>
      <c r="G502" s="130"/>
      <c r="H502" s="130"/>
      <c r="I502" s="22"/>
      <c r="J502" s="22"/>
      <c r="K502" s="22"/>
      <c r="L502" s="22"/>
      <c r="M502" s="22"/>
      <c r="N502" s="22"/>
    </row>
    <row r="503" spans="1:14" ht="15" customHeight="1">
      <c r="A503" s="21"/>
      <c r="B503" s="21"/>
      <c r="C503" s="21"/>
      <c r="D503" s="21"/>
      <c r="E503" s="21"/>
      <c r="F503" s="21"/>
      <c r="G503" s="130"/>
      <c r="H503" s="130"/>
      <c r="I503" s="22"/>
      <c r="J503" s="22"/>
      <c r="K503" s="22"/>
      <c r="L503" s="22"/>
      <c r="M503" s="22"/>
      <c r="N503" s="22"/>
    </row>
    <row r="504" spans="1:14">
      <c r="A504" s="1" t="s">
        <v>295</v>
      </c>
      <c r="B504" s="21"/>
      <c r="C504" s="21"/>
      <c r="D504" s="21"/>
      <c r="E504" s="192"/>
      <c r="F504" s="21"/>
      <c r="G504" s="130"/>
      <c r="H504" s="130"/>
      <c r="I504" s="22"/>
      <c r="J504" s="22"/>
      <c r="K504" s="22"/>
      <c r="L504" s="22"/>
      <c r="M504" s="22"/>
      <c r="N504" s="22"/>
    </row>
    <row r="505" spans="1:14">
      <c r="A505" s="739" t="s">
        <v>296</v>
      </c>
      <c r="B505" s="739"/>
      <c r="C505" s="739"/>
      <c r="D505" s="739"/>
      <c r="E505" s="53">
        <v>23</v>
      </c>
      <c r="F505" s="21"/>
      <c r="G505" s="130"/>
      <c r="H505" s="130"/>
      <c r="I505" s="22"/>
      <c r="J505" s="22"/>
      <c r="K505" s="22"/>
      <c r="L505" s="22"/>
      <c r="M505" s="22"/>
      <c r="N505" s="22"/>
    </row>
    <row r="506" spans="1:14">
      <c r="A506" s="739" t="s">
        <v>297</v>
      </c>
      <c r="B506" s="739"/>
      <c r="C506" s="739"/>
      <c r="D506" s="739"/>
      <c r="E506" s="245">
        <f>(232+244.9+235.9+250+257.9+254.99)/6/20</f>
        <v>12.297416666666665</v>
      </c>
      <c r="F506" s="21"/>
      <c r="G506" s="130"/>
      <c r="H506" s="130"/>
      <c r="I506" s="22"/>
      <c r="J506" s="22"/>
      <c r="K506" s="22"/>
      <c r="L506" s="22"/>
      <c r="M506" s="22"/>
      <c r="N506" s="22"/>
    </row>
    <row r="507" spans="1:14">
      <c r="A507" s="739" t="s">
        <v>299</v>
      </c>
      <c r="B507" s="739"/>
      <c r="C507" s="739"/>
      <c r="D507" s="739"/>
      <c r="E507" s="283">
        <v>10000</v>
      </c>
      <c r="F507" s="21"/>
      <c r="G507" s="130"/>
      <c r="H507" s="130"/>
      <c r="I507" s="22"/>
      <c r="J507" s="22"/>
      <c r="K507" s="22"/>
      <c r="L507" s="22"/>
      <c r="M507" s="22"/>
      <c r="N507" s="22"/>
    </row>
    <row r="508" spans="1:14">
      <c r="A508" s="725" t="s">
        <v>300</v>
      </c>
      <c r="B508" s="725"/>
      <c r="C508" s="725"/>
      <c r="D508" s="725"/>
      <c r="E508" s="284">
        <f>E505*E506/E507</f>
        <v>2.828405833333333E-2</v>
      </c>
      <c r="F508" s="21"/>
      <c r="G508" s="130"/>
      <c r="H508" s="130"/>
      <c r="I508" s="22"/>
      <c r="J508" s="22"/>
      <c r="K508" s="22"/>
      <c r="L508" s="22"/>
      <c r="M508" s="22"/>
      <c r="N508" s="22"/>
    </row>
    <row r="509" spans="1:14">
      <c r="A509" s="662" t="s">
        <v>301</v>
      </c>
      <c r="B509" s="662"/>
      <c r="C509" s="662"/>
      <c r="D509" s="662"/>
      <c r="E509" s="245">
        <f>E508*D470/D471</f>
        <v>40.612768236191663</v>
      </c>
      <c r="F509" s="21"/>
      <c r="G509" s="130"/>
      <c r="H509" s="130"/>
      <c r="I509" s="22"/>
      <c r="J509" s="22"/>
      <c r="K509" s="22"/>
      <c r="L509" s="22"/>
      <c r="M509" s="22"/>
      <c r="N509" s="22"/>
    </row>
    <row r="510" spans="1:14">
      <c r="A510" s="662" t="s">
        <v>302</v>
      </c>
      <c r="B510" s="662"/>
      <c r="C510" s="662"/>
      <c r="D510" s="662"/>
      <c r="E510" s="286">
        <f>E509*D471</f>
        <v>162.45107294476665</v>
      </c>
      <c r="F510" s="21"/>
      <c r="G510" s="130"/>
      <c r="H510" s="130"/>
      <c r="I510" s="22"/>
      <c r="J510" s="22"/>
      <c r="K510" s="22"/>
      <c r="L510" s="22"/>
      <c r="M510" s="22"/>
      <c r="N510" s="22"/>
    </row>
    <row r="511" spans="1:14">
      <c r="A511" s="21"/>
      <c r="B511" s="21"/>
      <c r="C511" s="21"/>
      <c r="D511" s="21"/>
      <c r="E511" s="89"/>
      <c r="F511" s="21"/>
      <c r="G511" s="130"/>
      <c r="H511" s="130"/>
      <c r="I511" s="22"/>
      <c r="J511" s="22"/>
      <c r="K511" s="22"/>
      <c r="L511" s="22"/>
      <c r="M511" s="22"/>
      <c r="N511" s="22"/>
    </row>
    <row r="512" spans="1:14">
      <c r="A512" s="1" t="s">
        <v>303</v>
      </c>
      <c r="B512" s="21"/>
      <c r="C512" s="21"/>
      <c r="D512" s="21"/>
      <c r="E512" s="89"/>
      <c r="F512" s="21"/>
      <c r="G512" s="130"/>
      <c r="H512" s="130"/>
      <c r="I512" s="22"/>
      <c r="J512" s="22"/>
      <c r="K512" s="22"/>
      <c r="L512" s="22"/>
      <c r="M512" s="22"/>
      <c r="N512" s="22"/>
    </row>
    <row r="513" spans="1:14">
      <c r="A513" s="725" t="s">
        <v>304</v>
      </c>
      <c r="B513" s="725"/>
      <c r="C513" s="725"/>
      <c r="D513" s="725"/>
      <c r="E513" s="53">
        <v>10</v>
      </c>
      <c r="F513" s="21"/>
      <c r="G513" s="130"/>
      <c r="H513" s="130"/>
      <c r="I513" s="22"/>
      <c r="J513" s="22"/>
      <c r="K513" s="22"/>
      <c r="L513" s="22"/>
      <c r="M513" s="22"/>
      <c r="N513" s="22"/>
    </row>
    <row r="514" spans="1:14">
      <c r="A514" s="725" t="s">
        <v>305</v>
      </c>
      <c r="B514" s="725"/>
      <c r="C514" s="725"/>
      <c r="D514" s="725"/>
      <c r="E514" s="53">
        <v>20</v>
      </c>
      <c r="F514" s="21"/>
      <c r="G514" s="130"/>
      <c r="H514" s="130"/>
      <c r="I514" s="22"/>
      <c r="J514" s="22"/>
      <c r="K514" s="22"/>
      <c r="L514" s="22"/>
      <c r="M514" s="22"/>
      <c r="N514" s="22"/>
    </row>
    <row r="515" spans="1:14">
      <c r="A515" s="725" t="s">
        <v>306</v>
      </c>
      <c r="B515" s="725"/>
      <c r="C515" s="725"/>
      <c r="D515" s="725"/>
      <c r="E515" s="245">
        <f>E506</f>
        <v>12.297416666666665</v>
      </c>
      <c r="F515" s="21" t="s">
        <v>298</v>
      </c>
      <c r="G515" s="130"/>
      <c r="H515" s="130"/>
      <c r="I515" s="22"/>
      <c r="J515" s="22"/>
      <c r="K515" s="22"/>
      <c r="L515" s="22"/>
      <c r="M515" s="22"/>
      <c r="N515" s="22"/>
    </row>
    <row r="516" spans="1:14">
      <c r="A516" s="725" t="s">
        <v>307</v>
      </c>
      <c r="B516" s="725"/>
      <c r="C516" s="725"/>
      <c r="D516" s="725"/>
      <c r="E516" s="245">
        <f>(34+230/20)/2</f>
        <v>22.75</v>
      </c>
      <c r="F516" s="21" t="s">
        <v>308</v>
      </c>
      <c r="G516" s="130"/>
      <c r="H516" s="130"/>
      <c r="I516" s="22"/>
      <c r="J516" s="22"/>
      <c r="K516" s="22"/>
      <c r="L516" s="22"/>
      <c r="M516" s="22"/>
      <c r="N516" s="22"/>
    </row>
    <row r="517" spans="1:14">
      <c r="A517" s="725" t="s">
        <v>299</v>
      </c>
      <c r="B517" s="725"/>
      <c r="C517" s="725"/>
      <c r="D517" s="725"/>
      <c r="E517" s="61">
        <v>60000</v>
      </c>
      <c r="F517" s="21"/>
      <c r="G517" s="130"/>
      <c r="H517" s="130"/>
      <c r="I517" s="22"/>
      <c r="J517" s="22"/>
      <c r="K517" s="22"/>
      <c r="L517" s="22"/>
      <c r="M517" s="22"/>
      <c r="N517" s="22"/>
    </row>
    <row r="518" spans="1:14">
      <c r="A518" s="725" t="s">
        <v>300</v>
      </c>
      <c r="B518" s="725"/>
      <c r="C518" s="725"/>
      <c r="D518" s="725"/>
      <c r="E518" s="288">
        <f>(E513*E515+E514*E516)/E517</f>
        <v>9.6329027777777767E-3</v>
      </c>
      <c r="F518" s="21"/>
      <c r="G518" s="130"/>
      <c r="H518" s="130"/>
      <c r="I518" s="22"/>
      <c r="J518" s="22"/>
      <c r="K518" s="22"/>
      <c r="L518" s="22"/>
      <c r="M518" s="22"/>
      <c r="N518" s="22"/>
    </row>
    <row r="519" spans="1:14">
      <c r="A519" s="662" t="s">
        <v>301</v>
      </c>
      <c r="B519" s="662"/>
      <c r="C519" s="662"/>
      <c r="D519" s="662"/>
      <c r="E519" s="245">
        <f>E518*D470/D471</f>
        <v>13.831779136680556</v>
      </c>
      <c r="F519" s="21"/>
      <c r="G519" s="130"/>
      <c r="H519" s="130"/>
      <c r="I519" s="22"/>
      <c r="J519" s="22"/>
      <c r="K519" s="22"/>
      <c r="L519" s="22"/>
      <c r="M519" s="22"/>
      <c r="N519" s="22"/>
    </row>
    <row r="520" spans="1:14">
      <c r="A520" s="662" t="s">
        <v>302</v>
      </c>
      <c r="B520" s="662"/>
      <c r="C520" s="662"/>
      <c r="D520" s="662"/>
      <c r="E520" s="286">
        <f>E519*D471</f>
        <v>55.327116546722223</v>
      </c>
      <c r="F520" s="21"/>
      <c r="G520" s="130"/>
      <c r="H520" s="130"/>
      <c r="I520" s="22"/>
      <c r="J520" s="22"/>
      <c r="K520" s="22"/>
      <c r="L520" s="22"/>
      <c r="M520" s="22"/>
      <c r="N520" s="22"/>
    </row>
    <row r="521" spans="1:14">
      <c r="A521" s="21"/>
      <c r="B521" s="21"/>
      <c r="C521" s="21"/>
      <c r="D521" s="21"/>
      <c r="E521" s="89"/>
      <c r="F521" s="21"/>
      <c r="G521" s="130"/>
      <c r="H521" s="130"/>
      <c r="I521" s="22"/>
      <c r="J521" s="22"/>
      <c r="K521" s="22"/>
      <c r="L521" s="22"/>
      <c r="M521" s="22"/>
      <c r="N521" s="22"/>
    </row>
    <row r="522" spans="1:14">
      <c r="A522" s="1" t="s">
        <v>316</v>
      </c>
      <c r="B522" s="21"/>
      <c r="C522" s="21"/>
      <c r="D522" s="21"/>
      <c r="E522" s="89"/>
      <c r="F522" s="21"/>
      <c r="G522" s="130"/>
      <c r="H522" s="130"/>
      <c r="I522" s="22"/>
      <c r="J522" s="22"/>
      <c r="K522" s="22"/>
      <c r="L522" s="22"/>
      <c r="M522" s="22"/>
      <c r="N522" s="22"/>
    </row>
    <row r="523" spans="1:14">
      <c r="A523" s="739" t="s">
        <v>317</v>
      </c>
      <c r="B523" s="739"/>
      <c r="C523" s="739"/>
      <c r="D523" s="739"/>
      <c r="E523" s="245">
        <f>(75+95)/2+(69+115)/2+(95+185)/2</f>
        <v>317</v>
      </c>
      <c r="F523" s="21"/>
      <c r="G523" s="130"/>
      <c r="H523" s="130"/>
      <c r="I523" s="22"/>
      <c r="J523" s="22"/>
      <c r="K523" s="22"/>
      <c r="L523" s="22"/>
      <c r="M523" s="22"/>
      <c r="N523" s="22"/>
    </row>
    <row r="524" spans="1:14">
      <c r="A524" s="739" t="s">
        <v>318</v>
      </c>
      <c r="B524" s="739"/>
      <c r="C524" s="739"/>
      <c r="D524" s="739"/>
      <c r="E524" s="283">
        <v>10000</v>
      </c>
      <c r="F524" s="21"/>
      <c r="G524" s="130"/>
      <c r="H524" s="130"/>
      <c r="I524" s="22"/>
      <c r="J524" s="22"/>
      <c r="K524" s="22"/>
      <c r="L524" s="22"/>
      <c r="M524" s="22"/>
      <c r="N524" s="22"/>
    </row>
    <row r="525" spans="1:14">
      <c r="A525" s="739" t="s">
        <v>319</v>
      </c>
      <c r="B525" s="739"/>
      <c r="C525" s="739"/>
      <c r="D525" s="739"/>
      <c r="E525" s="304">
        <f>(115+99)/2</f>
        <v>107</v>
      </c>
      <c r="F525" s="21"/>
      <c r="G525" s="130"/>
      <c r="H525" s="130"/>
      <c r="I525" s="22"/>
      <c r="J525" s="22"/>
      <c r="K525" s="22"/>
      <c r="L525" s="22"/>
      <c r="M525" s="22"/>
      <c r="N525" s="22"/>
    </row>
    <row r="526" spans="1:14">
      <c r="A526" s="739" t="s">
        <v>320</v>
      </c>
      <c r="B526" s="739"/>
      <c r="C526" s="739"/>
      <c r="D526" s="739"/>
      <c r="E526" s="283">
        <v>60000</v>
      </c>
      <c r="F526" s="21"/>
      <c r="G526" s="130"/>
      <c r="H526" s="130"/>
      <c r="I526" s="22"/>
      <c r="J526" s="22"/>
      <c r="K526" s="22"/>
      <c r="L526" s="22"/>
      <c r="M526" s="22"/>
      <c r="N526" s="22"/>
    </row>
    <row r="527" spans="1:14">
      <c r="A527" s="739" t="s">
        <v>300</v>
      </c>
      <c r="B527" s="739"/>
      <c r="C527" s="739"/>
      <c r="D527" s="739"/>
      <c r="E527" s="305">
        <f>E523/E524+E525/E526</f>
        <v>3.348333333333333E-2</v>
      </c>
      <c r="F527" s="21"/>
      <c r="G527" s="130"/>
      <c r="H527" s="130"/>
      <c r="I527" s="22"/>
      <c r="J527" s="22"/>
      <c r="K527" s="22"/>
      <c r="L527" s="22"/>
      <c r="M527" s="22"/>
      <c r="N527" s="22"/>
    </row>
    <row r="528" spans="1:14">
      <c r="A528" s="662" t="s">
        <v>301</v>
      </c>
      <c r="B528" s="662"/>
      <c r="C528" s="662"/>
      <c r="D528" s="662"/>
      <c r="E528" s="306">
        <f>E527*D470/D471</f>
        <v>48.078350016666668</v>
      </c>
      <c r="F528" s="21"/>
      <c r="G528" s="130"/>
      <c r="H528" s="130"/>
      <c r="I528" s="22"/>
      <c r="J528" s="22"/>
      <c r="K528" s="22"/>
      <c r="L528" s="22"/>
      <c r="M528" s="22"/>
      <c r="N528" s="22"/>
    </row>
    <row r="529" spans="1:14">
      <c r="A529" s="662" t="s">
        <v>302</v>
      </c>
      <c r="B529" s="662"/>
      <c r="C529" s="662"/>
      <c r="D529" s="662"/>
      <c r="E529" s="307">
        <f>E528*D471</f>
        <v>192.31340006666667</v>
      </c>
      <c r="F529" s="21"/>
      <c r="G529" s="130"/>
      <c r="H529" s="130"/>
      <c r="I529" s="22"/>
      <c r="J529" s="22"/>
      <c r="K529" s="22"/>
      <c r="L529" s="22"/>
      <c r="M529" s="22"/>
      <c r="N529" s="22"/>
    </row>
    <row r="530" spans="1:14">
      <c r="A530" s="21"/>
      <c r="B530" s="21"/>
      <c r="C530" s="21"/>
      <c r="D530" s="21"/>
      <c r="E530" s="21"/>
      <c r="F530" s="21"/>
      <c r="G530" s="130"/>
      <c r="H530" s="130"/>
      <c r="I530" s="22"/>
      <c r="J530" s="22"/>
      <c r="K530" s="22"/>
      <c r="L530" s="22"/>
      <c r="M530" s="22"/>
      <c r="N530" s="22"/>
    </row>
    <row r="531" spans="1:14">
      <c r="A531" s="1" t="s">
        <v>321</v>
      </c>
      <c r="B531" s="21"/>
      <c r="C531" s="21"/>
      <c r="D531" s="21"/>
      <c r="E531" s="21"/>
      <c r="F531" s="21"/>
      <c r="G531" s="130"/>
      <c r="H531" s="130"/>
      <c r="I531" s="22"/>
      <c r="J531" s="22"/>
      <c r="K531" s="22"/>
      <c r="L531" s="22"/>
      <c r="M531" s="22"/>
      <c r="N531" s="22"/>
    </row>
    <row r="532" spans="1:14">
      <c r="A532" s="725" t="s">
        <v>322</v>
      </c>
      <c r="B532" s="725"/>
      <c r="C532" s="725"/>
      <c r="D532" s="725"/>
      <c r="E532" s="308">
        <v>11</v>
      </c>
      <c r="F532" s="21"/>
      <c r="G532" s="130"/>
      <c r="H532" s="130"/>
      <c r="I532" s="22"/>
      <c r="J532" s="22"/>
      <c r="K532" s="22"/>
      <c r="L532" s="22"/>
      <c r="M532" s="22"/>
      <c r="N532" s="22"/>
    </row>
    <row r="533" spans="1:14">
      <c r="A533" s="725" t="s">
        <v>323</v>
      </c>
      <c r="B533" s="725"/>
      <c r="C533" s="725"/>
      <c r="D533" s="725"/>
      <c r="E533" s="309">
        <f>1/1000</f>
        <v>1E-3</v>
      </c>
      <c r="F533" s="21"/>
      <c r="G533" s="130"/>
      <c r="H533" s="130"/>
      <c r="I533" s="22"/>
      <c r="J533" s="22"/>
      <c r="K533" s="22"/>
      <c r="L533" s="22"/>
      <c r="M533" s="22"/>
      <c r="N533" s="22"/>
    </row>
    <row r="534" spans="1:14" ht="15" customHeight="1">
      <c r="A534" s="725" t="s">
        <v>324</v>
      </c>
      <c r="B534" s="725"/>
      <c r="C534" s="725"/>
      <c r="D534" s="725"/>
      <c r="E534" s="310">
        <f>D470/3*E533</f>
        <v>1.9145186666666669</v>
      </c>
      <c r="F534" s="419"/>
      <c r="G534" s="130"/>
      <c r="H534" s="130"/>
      <c r="I534" s="22"/>
      <c r="J534" s="22"/>
      <c r="K534" s="22"/>
      <c r="L534" s="22"/>
      <c r="M534" s="22"/>
      <c r="N534" s="22"/>
    </row>
    <row r="535" spans="1:14" ht="15" customHeight="1">
      <c r="A535" s="662" t="s">
        <v>301</v>
      </c>
      <c r="B535" s="662"/>
      <c r="C535" s="662"/>
      <c r="D535" s="662"/>
      <c r="E535" s="311">
        <f>E534*E532</f>
        <v>21.059705333333337</v>
      </c>
      <c r="F535" s="419"/>
      <c r="G535" s="130"/>
      <c r="H535" s="130"/>
      <c r="I535" s="22"/>
      <c r="J535" s="22"/>
      <c r="K535" s="22"/>
      <c r="L535" s="22"/>
      <c r="M535" s="22"/>
      <c r="N535" s="22"/>
    </row>
    <row r="536" spans="1:14" ht="15" customHeight="1">
      <c r="A536" s="662" t="s">
        <v>302</v>
      </c>
      <c r="B536" s="662"/>
      <c r="C536" s="662"/>
      <c r="D536" s="662"/>
      <c r="E536" s="264">
        <f>E535*D471</f>
        <v>84.238821333333348</v>
      </c>
      <c r="F536" s="419"/>
      <c r="G536" s="130"/>
      <c r="H536" s="130"/>
      <c r="I536" s="22"/>
      <c r="J536" s="22"/>
      <c r="K536" s="22"/>
      <c r="L536" s="22"/>
      <c r="M536" s="22"/>
      <c r="N536" s="22"/>
    </row>
    <row r="537" spans="1:14" ht="15" customHeight="1">
      <c r="A537" s="259"/>
      <c r="B537" s="259"/>
      <c r="C537" s="259"/>
      <c r="D537" s="259"/>
      <c r="E537" s="331"/>
      <c r="F537" s="419"/>
      <c r="G537" s="130"/>
      <c r="H537" s="130"/>
      <c r="I537" s="22"/>
      <c r="J537" s="22"/>
      <c r="K537" s="22"/>
      <c r="L537" s="22"/>
      <c r="M537" s="22"/>
      <c r="N537" s="22"/>
    </row>
    <row r="538" spans="1:14" ht="15" customHeight="1">
      <c r="A538" s="113" t="s">
        <v>471</v>
      </c>
      <c r="B538" s="113"/>
      <c r="C538" s="113"/>
      <c r="D538" s="113"/>
      <c r="E538" s="113"/>
      <c r="F538" s="113"/>
      <c r="G538" s="113"/>
      <c r="H538" s="113"/>
      <c r="I538" s="22"/>
      <c r="J538" s="22"/>
      <c r="K538" s="22"/>
      <c r="L538" s="22"/>
      <c r="M538" s="22"/>
      <c r="N538" s="22"/>
    </row>
    <row r="539" spans="1:14">
      <c r="A539" s="115"/>
      <c r="B539" s="115"/>
      <c r="C539" s="115"/>
      <c r="D539" s="115"/>
      <c r="E539" s="119"/>
      <c r="F539" s="419"/>
      <c r="G539" s="130"/>
      <c r="H539" s="130"/>
      <c r="I539" s="22"/>
      <c r="J539" s="22"/>
      <c r="K539" s="22"/>
      <c r="L539" s="22"/>
      <c r="M539" s="22"/>
      <c r="N539" s="22"/>
    </row>
    <row r="540" spans="1:14" ht="23.25">
      <c r="A540" s="764" t="s">
        <v>249</v>
      </c>
      <c r="B540" s="764"/>
      <c r="C540" s="764"/>
      <c r="D540" s="764"/>
      <c r="E540" s="420" t="s">
        <v>375</v>
      </c>
      <c r="F540" s="421" t="s">
        <v>472</v>
      </c>
      <c r="G540" s="130"/>
      <c r="H540" s="130"/>
      <c r="I540" s="22"/>
      <c r="J540" s="22"/>
      <c r="K540" s="22"/>
      <c r="L540" s="22"/>
      <c r="M540" s="22"/>
      <c r="N540" s="22"/>
    </row>
    <row r="541" spans="1:14" ht="15" customHeight="1">
      <c r="A541" s="659" t="s">
        <v>254</v>
      </c>
      <c r="B541" s="659"/>
      <c r="C541" s="659"/>
      <c r="D541" s="659"/>
      <c r="E541" s="147">
        <f>D484</f>
        <v>6984.1640960000004</v>
      </c>
      <c r="F541" s="326">
        <f>E541/D471</f>
        <v>1746.0410240000001</v>
      </c>
      <c r="G541" s="130"/>
      <c r="H541" s="130"/>
      <c r="I541" s="22"/>
      <c r="J541" s="22"/>
      <c r="K541" s="22"/>
      <c r="L541" s="22"/>
      <c r="M541" s="22"/>
      <c r="N541" s="22"/>
    </row>
    <row r="542" spans="1:14">
      <c r="A542" s="725" t="s">
        <v>256</v>
      </c>
      <c r="B542" s="725"/>
      <c r="C542" s="725"/>
      <c r="D542" s="725"/>
      <c r="E542" s="147">
        <f>E500</f>
        <v>1325.2150940000001</v>
      </c>
      <c r="F542" s="326">
        <f>E542/D471</f>
        <v>331.30377350000003</v>
      </c>
      <c r="G542" s="130"/>
      <c r="H542" s="130"/>
      <c r="I542" s="22"/>
      <c r="J542" s="22"/>
      <c r="K542" s="22"/>
      <c r="L542" s="22"/>
      <c r="M542" s="22"/>
      <c r="N542" s="22"/>
    </row>
    <row r="543" spans="1:14">
      <c r="A543" s="679" t="s">
        <v>473</v>
      </c>
      <c r="B543" s="679"/>
      <c r="C543" s="679"/>
      <c r="D543" s="679"/>
      <c r="E543" s="351">
        <f>E502</f>
        <v>494.3304108914889</v>
      </c>
      <c r="F543" s="326">
        <f>E543/D471</f>
        <v>123.58260272287222</v>
      </c>
      <c r="G543" s="130"/>
      <c r="H543" s="130"/>
      <c r="I543" s="22"/>
      <c r="J543" s="22"/>
      <c r="K543" s="22"/>
      <c r="L543" s="22"/>
      <c r="M543" s="22"/>
      <c r="N543" s="22"/>
    </row>
    <row r="544" spans="1:14">
      <c r="A544" s="751" t="s">
        <v>378</v>
      </c>
      <c r="B544" s="751"/>
      <c r="C544" s="751"/>
      <c r="D544" s="751"/>
      <c r="E544" s="354">
        <f>SUM(E541:E543)</f>
        <v>8803.7096008914887</v>
      </c>
      <c r="F544" s="422">
        <f>SUM(F541:F543)</f>
        <v>2200.9274002228722</v>
      </c>
      <c r="G544" s="130"/>
      <c r="H544" s="130"/>
      <c r="I544" s="22"/>
      <c r="J544" s="22"/>
      <c r="K544" s="22"/>
      <c r="L544" s="22"/>
      <c r="M544" s="22"/>
      <c r="N544" s="22"/>
    </row>
    <row r="545" spans="1:14">
      <c r="A545" s="21"/>
      <c r="B545" s="21"/>
      <c r="C545" s="21"/>
      <c r="D545" s="21"/>
      <c r="E545" s="21"/>
      <c r="F545" s="130"/>
      <c r="G545" s="130"/>
      <c r="H545" s="130"/>
      <c r="I545" s="22"/>
      <c r="J545" s="22"/>
      <c r="K545" s="22"/>
      <c r="L545" s="22"/>
      <c r="M545" s="22"/>
      <c r="N545" s="22"/>
    </row>
    <row r="546" spans="1:14">
      <c r="A546" s="689" t="s">
        <v>474</v>
      </c>
      <c r="B546" s="689"/>
      <c r="C546" s="689"/>
      <c r="D546" s="689"/>
      <c r="E546" s="689"/>
      <c r="F546" s="689"/>
      <c r="G546" s="689"/>
      <c r="H546" s="689"/>
      <c r="I546" s="22"/>
      <c r="J546" s="22"/>
      <c r="K546" s="22"/>
      <c r="L546" s="22"/>
      <c r="M546" s="22"/>
      <c r="N546" s="22"/>
    </row>
    <row r="547" spans="1:14">
      <c r="A547" s="113"/>
      <c r="B547" s="115"/>
      <c r="C547" s="115"/>
      <c r="D547" s="115"/>
      <c r="E547" s="419"/>
      <c r="F547" s="130"/>
      <c r="G547" s="130"/>
      <c r="H547" s="130"/>
      <c r="I547" s="22"/>
      <c r="J547" s="22"/>
      <c r="K547" s="22"/>
      <c r="L547" s="22"/>
      <c r="M547" s="22"/>
      <c r="N547" s="22"/>
    </row>
    <row r="548" spans="1:14">
      <c r="A548" s="725" t="s">
        <v>475</v>
      </c>
      <c r="B548" s="725"/>
      <c r="C548" s="725"/>
      <c r="D548" s="423">
        <v>50</v>
      </c>
      <c r="E548" s="419" t="s">
        <v>476</v>
      </c>
      <c r="F548" s="130"/>
      <c r="G548" s="130"/>
      <c r="H548" s="130"/>
      <c r="I548" s="22"/>
      <c r="J548" s="22"/>
      <c r="K548" s="22"/>
      <c r="L548" s="22"/>
      <c r="M548" s="22"/>
      <c r="N548" s="22"/>
    </row>
    <row r="549" spans="1:14" ht="15" customHeight="1">
      <c r="A549" s="681" t="s">
        <v>477</v>
      </c>
      <c r="B549" s="681"/>
      <c r="C549" s="681"/>
      <c r="D549" s="423">
        <v>26</v>
      </c>
      <c r="E549" s="419" t="s">
        <v>229</v>
      </c>
      <c r="F549" s="130"/>
      <c r="G549" s="130"/>
      <c r="H549" s="130"/>
      <c r="I549" s="22"/>
      <c r="J549" s="22"/>
      <c r="K549" s="22"/>
      <c r="L549" s="22"/>
      <c r="M549" s="22"/>
      <c r="N549" s="22"/>
    </row>
    <row r="550" spans="1:14">
      <c r="A550" s="725" t="s">
        <v>478</v>
      </c>
      <c r="B550" s="725"/>
      <c r="C550" s="725"/>
      <c r="D550" s="26">
        <f>D549/D548</f>
        <v>0.52</v>
      </c>
      <c r="E550" s="21" t="s">
        <v>479</v>
      </c>
      <c r="F550" s="130"/>
      <c r="G550" s="130"/>
      <c r="H550" s="130"/>
      <c r="I550" s="22"/>
      <c r="J550" s="22"/>
      <c r="K550" s="22"/>
      <c r="L550" s="22"/>
      <c r="M550" s="22"/>
      <c r="N550" s="22"/>
    </row>
    <row r="551" spans="1:14">
      <c r="A551" s="725" t="s">
        <v>480</v>
      </c>
      <c r="B551" s="725"/>
      <c r="C551" s="725"/>
      <c r="D551" s="310">
        <f>20/60</f>
        <v>0.33333333333333331</v>
      </c>
      <c r="E551" s="21" t="s">
        <v>481</v>
      </c>
      <c r="F551" s="130"/>
      <c r="G551" s="130"/>
      <c r="H551" s="130"/>
      <c r="I551" s="22"/>
      <c r="J551" s="22"/>
      <c r="K551" s="22"/>
      <c r="L551" s="22"/>
      <c r="M551" s="22"/>
      <c r="N551" s="22"/>
    </row>
    <row r="552" spans="1:14">
      <c r="A552" s="725" t="s">
        <v>482</v>
      </c>
      <c r="B552" s="725"/>
      <c r="C552" s="725"/>
      <c r="D552" s="424">
        <f>D550+D551</f>
        <v>0.85333333333333328</v>
      </c>
      <c r="E552" s="130" t="s">
        <v>483</v>
      </c>
      <c r="F552" s="130"/>
      <c r="G552" s="130"/>
      <c r="H552" s="130"/>
      <c r="I552" s="22"/>
      <c r="J552" s="22"/>
      <c r="K552" s="22"/>
      <c r="L552" s="22"/>
      <c r="M552" s="22"/>
      <c r="N552" s="22"/>
    </row>
    <row r="553" spans="1:14">
      <c r="A553" s="725" t="s">
        <v>484</v>
      </c>
      <c r="B553" s="725"/>
      <c r="C553" s="725"/>
      <c r="D553" s="425">
        <f>E114</f>
        <v>220.90600000000001</v>
      </c>
      <c r="E553" s="419" t="s">
        <v>485</v>
      </c>
      <c r="F553" s="130"/>
      <c r="G553" s="130"/>
      <c r="H553" s="130"/>
      <c r="I553" s="22"/>
      <c r="J553" s="22"/>
      <c r="K553" s="22"/>
      <c r="L553" s="22"/>
      <c r="M553" s="22"/>
      <c r="N553" s="22"/>
    </row>
    <row r="554" spans="1:14">
      <c r="A554" s="725" t="s">
        <v>486</v>
      </c>
      <c r="B554" s="725"/>
      <c r="C554" s="725"/>
      <c r="D554" s="47">
        <f>D553*D552</f>
        <v>188.50645333333333</v>
      </c>
      <c r="E554" s="21" t="s">
        <v>315</v>
      </c>
      <c r="F554" s="130"/>
      <c r="G554" s="130"/>
      <c r="H554" s="130"/>
      <c r="I554" s="22"/>
      <c r="J554" s="22"/>
      <c r="K554" s="22"/>
      <c r="L554" s="22"/>
      <c r="M554" s="22"/>
      <c r="N554" s="22"/>
    </row>
    <row r="555" spans="1:14">
      <c r="A555" s="21"/>
      <c r="B555" s="21"/>
      <c r="C555" s="21"/>
      <c r="D555" s="21"/>
      <c r="E555" s="21"/>
      <c r="F555" s="130"/>
      <c r="G555" s="130"/>
      <c r="H555" s="130"/>
      <c r="I555" s="22"/>
      <c r="J555" s="22"/>
      <c r="K555" s="22"/>
      <c r="L555" s="22"/>
      <c r="M555" s="22"/>
      <c r="N555" s="22"/>
    </row>
    <row r="556" spans="1:14" ht="15" customHeight="1">
      <c r="A556" s="739" t="s">
        <v>487</v>
      </c>
      <c r="B556" s="739"/>
      <c r="C556" s="739"/>
      <c r="D556" s="61">
        <f>220*8</f>
        <v>1760</v>
      </c>
      <c r="E556" s="426"/>
      <c r="F556" s="130"/>
      <c r="G556" s="130"/>
      <c r="H556" s="130"/>
      <c r="I556" s="22"/>
      <c r="J556" s="22"/>
      <c r="K556" s="22"/>
      <c r="L556" s="22"/>
      <c r="M556" s="22"/>
      <c r="N556" s="22"/>
    </row>
    <row r="557" spans="1:14" ht="24" customHeight="1">
      <c r="A557" s="740" t="s">
        <v>488</v>
      </c>
      <c r="B557" s="740"/>
      <c r="C557" s="740"/>
      <c r="D557" s="61">
        <f>D556*0.9162</f>
        <v>1612.5119999999999</v>
      </c>
      <c r="E557" s="427">
        <v>0.91620000000000001</v>
      </c>
      <c r="F557" s="130"/>
      <c r="G557" s="130"/>
      <c r="H557" s="130"/>
      <c r="I557" s="22"/>
      <c r="J557" s="22"/>
      <c r="K557" s="22"/>
      <c r="L557" s="22"/>
      <c r="M557" s="22"/>
      <c r="N557" s="22"/>
    </row>
    <row r="558" spans="1:14" ht="24" customHeight="1">
      <c r="A558" s="740" t="s">
        <v>489</v>
      </c>
      <c r="B558" s="740"/>
      <c r="C558" s="740"/>
      <c r="D558" s="428">
        <f>D554/D557</f>
        <v>0.1169023569023569</v>
      </c>
      <c r="E558" s="177"/>
      <c r="F558" s="130"/>
      <c r="G558" s="130"/>
      <c r="H558" s="130"/>
      <c r="I558" s="22"/>
      <c r="J558" s="22"/>
      <c r="K558" s="22"/>
      <c r="L558" s="22"/>
      <c r="M558" s="22"/>
      <c r="N558" s="22"/>
    </row>
    <row r="559" spans="1:14">
      <c r="A559" s="736"/>
      <c r="B559" s="736"/>
      <c r="C559" s="736"/>
      <c r="D559" s="115"/>
      <c r="E559" s="115"/>
      <c r="F559" s="87"/>
      <c r="G559" s="130"/>
      <c r="H559" s="130"/>
      <c r="I559" s="22"/>
      <c r="J559" s="22"/>
      <c r="K559" s="22"/>
      <c r="L559" s="22"/>
      <c r="M559" s="22"/>
      <c r="N559" s="22"/>
    </row>
    <row r="560" spans="1:14" ht="15" customHeight="1">
      <c r="A560" s="130"/>
      <c r="B560" s="130"/>
      <c r="C560" s="130"/>
      <c r="D560" s="130"/>
      <c r="E560" s="130"/>
      <c r="F560" s="419"/>
      <c r="G560" s="130"/>
      <c r="H560" s="130"/>
      <c r="I560" s="22"/>
      <c r="J560" s="22"/>
      <c r="K560" s="22"/>
      <c r="L560" s="22"/>
      <c r="M560" s="22"/>
      <c r="N560" s="22"/>
    </row>
    <row r="561" spans="1:14" ht="15" customHeight="1">
      <c r="A561" s="662" t="s">
        <v>430</v>
      </c>
      <c r="B561" s="662"/>
      <c r="C561" s="45" t="s">
        <v>431</v>
      </c>
      <c r="D561" s="45" t="s">
        <v>432</v>
      </c>
      <c r="E561" s="45" t="s">
        <v>433</v>
      </c>
      <c r="F561" s="93"/>
      <c r="G561" s="130"/>
      <c r="H561" s="130"/>
      <c r="I561" s="22"/>
      <c r="J561" s="22"/>
      <c r="K561" s="22"/>
      <c r="L561" s="22"/>
      <c r="M561" s="22"/>
      <c r="N561" s="22"/>
    </row>
    <row r="562" spans="1:14" ht="15" customHeight="1">
      <c r="A562" s="762" t="s">
        <v>490</v>
      </c>
      <c r="B562" s="762"/>
      <c r="C562" s="429">
        <f>H138</f>
        <v>9</v>
      </c>
      <c r="D562" s="430">
        <f>E451</f>
        <v>7650.0398713429486</v>
      </c>
      <c r="E562" s="431">
        <f>D562*C562</f>
        <v>68850.358842086542</v>
      </c>
      <c r="F562" s="419"/>
      <c r="G562" s="130"/>
      <c r="H562" s="130"/>
      <c r="I562" s="22"/>
      <c r="J562" s="22"/>
      <c r="K562" s="22"/>
      <c r="L562" s="22"/>
      <c r="M562" s="22"/>
      <c r="N562" s="22"/>
    </row>
    <row r="563" spans="1:14" ht="15" customHeight="1">
      <c r="A563" s="763" t="s">
        <v>491</v>
      </c>
      <c r="B563" s="763"/>
      <c r="C563" s="432">
        <f>C562</f>
        <v>9</v>
      </c>
      <c r="D563" s="392">
        <f>D562*0.123</f>
        <v>940.95490417518261</v>
      </c>
      <c r="E563" s="431">
        <f>D563*C563</f>
        <v>8468.5941375766433</v>
      </c>
      <c r="F563" s="433"/>
      <c r="G563" s="130"/>
      <c r="H563" s="130"/>
      <c r="I563" s="22"/>
      <c r="J563" s="22"/>
      <c r="K563" s="22"/>
      <c r="L563" s="22"/>
      <c r="M563" s="22"/>
      <c r="N563" s="22"/>
    </row>
    <row r="564" spans="1:14" ht="15" customHeight="1">
      <c r="A564" s="759" t="s">
        <v>492</v>
      </c>
      <c r="B564" s="759"/>
      <c r="C564" s="759"/>
      <c r="D564" s="759"/>
      <c r="E564" s="434">
        <f>E563/1391.01</f>
        <v>6.0880900479339788</v>
      </c>
      <c r="F564" s="130"/>
      <c r="G564" s="130"/>
      <c r="H564" s="130"/>
      <c r="I564" s="22"/>
      <c r="J564" s="22"/>
      <c r="K564" s="22"/>
      <c r="L564" s="22"/>
      <c r="M564" s="22"/>
      <c r="N564" s="22"/>
    </row>
    <row r="565" spans="1:14" ht="15" customHeight="1">
      <c r="A565" s="113"/>
      <c r="B565" s="113"/>
      <c r="C565" s="113"/>
      <c r="D565" s="113"/>
      <c r="E565" s="87"/>
      <c r="F565" s="87"/>
      <c r="G565" s="130"/>
      <c r="H565" s="130"/>
      <c r="I565" s="22"/>
      <c r="J565" s="22"/>
      <c r="K565" s="22"/>
      <c r="L565" s="22"/>
      <c r="M565" s="22"/>
      <c r="N565" s="22"/>
    </row>
    <row r="566" spans="1:14" ht="15" customHeight="1">
      <c r="A566" s="761" t="s">
        <v>493</v>
      </c>
      <c r="B566" s="761"/>
      <c r="C566" s="761"/>
      <c r="D566" s="761"/>
      <c r="E566" s="761"/>
      <c r="F566" s="761"/>
      <c r="G566" s="761"/>
      <c r="H566" s="761"/>
      <c r="I566" s="22"/>
      <c r="J566" s="22"/>
      <c r="K566" s="22"/>
      <c r="L566" s="22"/>
      <c r="M566" s="22"/>
      <c r="N566" s="22"/>
    </row>
    <row r="567" spans="1:14">
      <c r="A567" s="213"/>
      <c r="B567" s="213"/>
      <c r="C567" s="213"/>
      <c r="D567" s="213"/>
      <c r="E567" s="119"/>
      <c r="F567" s="419"/>
      <c r="G567" s="130"/>
      <c r="H567" s="130"/>
      <c r="I567" s="22"/>
      <c r="J567" s="22"/>
      <c r="K567" s="22"/>
      <c r="L567" s="22"/>
      <c r="M567" s="22"/>
      <c r="N567" s="22"/>
    </row>
    <row r="568" spans="1:14">
      <c r="A568" s="45" t="s">
        <v>419</v>
      </c>
      <c r="B568" s="662" t="s">
        <v>448</v>
      </c>
      <c r="C568" s="662"/>
      <c r="D568" s="662"/>
      <c r="E568" s="397" t="s">
        <v>276</v>
      </c>
      <c r="F568" s="25" t="s">
        <v>449</v>
      </c>
      <c r="G568" s="398" t="s">
        <v>450</v>
      </c>
      <c r="H568" s="237"/>
      <c r="I568" s="22"/>
      <c r="J568" s="22"/>
      <c r="K568" s="22"/>
      <c r="L568" s="22"/>
      <c r="M568" s="22"/>
      <c r="N568" s="22"/>
    </row>
    <row r="569" spans="1:14">
      <c r="A569" s="27" t="s">
        <v>494</v>
      </c>
      <c r="B569" s="662" t="s">
        <v>452</v>
      </c>
      <c r="C569" s="662"/>
      <c r="D569" s="662"/>
      <c r="E569" s="399">
        <f>E544</f>
        <v>8803.7096008914887</v>
      </c>
      <c r="F569" s="399">
        <f>E569*(1+BDI!$B$12)</f>
        <v>11038.030382359122</v>
      </c>
      <c r="G569" s="394">
        <f>F569/G32</f>
        <v>7.3099538956020673</v>
      </c>
      <c r="H569" s="237"/>
      <c r="I569" s="22"/>
      <c r="J569" s="22"/>
      <c r="K569" s="22"/>
      <c r="L569" s="22"/>
      <c r="M569" s="22"/>
      <c r="N569" s="22"/>
    </row>
    <row r="570" spans="1:14">
      <c r="A570" s="27" t="s">
        <v>495</v>
      </c>
      <c r="B570" s="662" t="s">
        <v>456</v>
      </c>
      <c r="C570" s="662"/>
      <c r="D570" s="662"/>
      <c r="E570" s="399"/>
      <c r="F570" s="399">
        <f>E563</f>
        <v>8468.5941375766433</v>
      </c>
      <c r="G570" s="394">
        <f>F570/G32</f>
        <v>5.6083404884613532</v>
      </c>
      <c r="H570" s="237"/>
      <c r="I570" s="22"/>
      <c r="J570" s="22"/>
      <c r="K570" s="22"/>
      <c r="L570" s="22"/>
      <c r="M570" s="22"/>
      <c r="N570" s="22"/>
    </row>
    <row r="571" spans="1:14">
      <c r="A571" s="27"/>
      <c r="B571" s="660" t="s">
        <v>102</v>
      </c>
      <c r="C571" s="660"/>
      <c r="D571" s="660"/>
      <c r="E571" s="660"/>
      <c r="F571" s="660"/>
      <c r="G571" s="394">
        <f>SUM(G569:G570)</f>
        <v>12.918294384063421</v>
      </c>
      <c r="H571" s="237"/>
      <c r="I571" s="22"/>
      <c r="J571" s="22"/>
      <c r="K571" s="22"/>
      <c r="L571" s="22"/>
      <c r="M571" s="22"/>
      <c r="N571" s="22"/>
    </row>
    <row r="572" spans="1:14">
      <c r="A572" s="115"/>
      <c r="B572" s="115"/>
      <c r="C572" s="115"/>
      <c r="D572" s="115"/>
      <c r="E572" s="119"/>
      <c r="F572" s="419"/>
      <c r="G572" s="237"/>
      <c r="H572" s="237"/>
      <c r="I572" s="22"/>
      <c r="J572" s="22"/>
      <c r="K572" s="22"/>
      <c r="L572" s="22"/>
      <c r="M572" s="22"/>
      <c r="N572" s="22"/>
    </row>
    <row r="573" spans="1:14">
      <c r="A573" s="115"/>
      <c r="B573" s="115"/>
      <c r="C573" s="115"/>
      <c r="D573" s="115"/>
      <c r="E573" s="119"/>
      <c r="F573" s="419"/>
      <c r="G573" s="237"/>
      <c r="H573" s="237"/>
      <c r="I573" s="22"/>
      <c r="J573" s="22"/>
      <c r="K573" s="22"/>
      <c r="L573" s="22"/>
      <c r="M573" s="22"/>
      <c r="N573" s="22"/>
    </row>
    <row r="574" spans="1:14">
      <c r="A574" s="115"/>
      <c r="B574" s="115"/>
      <c r="C574" s="115"/>
      <c r="D574" s="115"/>
      <c r="E574" s="119"/>
      <c r="F574" s="419"/>
      <c r="G574" s="237"/>
      <c r="H574" s="237"/>
      <c r="I574" s="22"/>
      <c r="J574" s="22"/>
      <c r="K574" s="22"/>
      <c r="L574" s="22"/>
      <c r="M574" s="22"/>
      <c r="N574" s="22"/>
    </row>
    <row r="575" spans="1:14">
      <c r="A575" s="113"/>
      <c r="B575" s="113"/>
      <c r="C575" s="113"/>
      <c r="D575" s="113"/>
      <c r="E575" s="123"/>
      <c r="F575" s="350"/>
      <c r="G575" s="237"/>
      <c r="H575" s="237"/>
      <c r="I575" s="22"/>
      <c r="J575" s="22"/>
      <c r="K575" s="22"/>
      <c r="L575" s="22"/>
      <c r="M575" s="22"/>
      <c r="N575" s="22"/>
    </row>
    <row r="576" spans="1:14">
      <c r="A576" s="237"/>
      <c r="B576" s="237"/>
      <c r="C576" s="237"/>
      <c r="D576" s="237"/>
      <c r="E576" s="237"/>
      <c r="F576" s="237"/>
      <c r="G576" s="237"/>
      <c r="H576" s="237"/>
      <c r="I576" s="22"/>
      <c r="J576" s="22"/>
      <c r="K576" s="22"/>
      <c r="L576" s="22"/>
      <c r="M576" s="22"/>
      <c r="N576" s="22"/>
    </row>
    <row r="577" spans="1:14">
      <c r="A577" s="435"/>
      <c r="B577" s="130"/>
      <c r="C577" s="130"/>
      <c r="D577" s="130"/>
      <c r="E577" s="130"/>
      <c r="F577" s="130"/>
      <c r="G577" s="237"/>
      <c r="H577" s="237"/>
      <c r="I577" s="22"/>
      <c r="J577" s="22"/>
      <c r="K577" s="22"/>
      <c r="L577" s="22"/>
      <c r="M577" s="22"/>
      <c r="N577" s="22"/>
    </row>
    <row r="578" spans="1:14">
      <c r="A578" s="115"/>
      <c r="B578" s="115"/>
      <c r="C578" s="115"/>
      <c r="D578" s="115"/>
      <c r="E578" s="419"/>
      <c r="F578" s="130"/>
      <c r="G578" s="237"/>
      <c r="H578" s="237"/>
      <c r="I578" s="22"/>
      <c r="J578" s="22"/>
      <c r="K578" s="22"/>
      <c r="L578" s="22"/>
      <c r="M578" s="22"/>
      <c r="N578" s="22"/>
    </row>
    <row r="579" spans="1:14">
      <c r="A579" s="115"/>
      <c r="B579" s="115"/>
      <c r="C579" s="115"/>
      <c r="D579" s="115"/>
      <c r="E579" s="419"/>
      <c r="F579" s="130"/>
      <c r="G579" s="237"/>
      <c r="H579" s="237"/>
      <c r="I579" s="22"/>
      <c r="J579" s="22"/>
      <c r="K579" s="22"/>
      <c r="L579" s="22"/>
      <c r="M579" s="22"/>
      <c r="N579" s="22"/>
    </row>
    <row r="580" spans="1:14">
      <c r="A580" s="115"/>
      <c r="B580" s="115"/>
      <c r="C580" s="115"/>
      <c r="D580" s="115"/>
      <c r="E580" s="419"/>
      <c r="F580" s="130"/>
      <c r="G580" s="237"/>
      <c r="H580" s="237"/>
      <c r="I580" s="22"/>
      <c r="J580" s="22"/>
      <c r="K580" s="22"/>
      <c r="L580" s="22"/>
      <c r="M580" s="22"/>
      <c r="N580" s="22"/>
    </row>
    <row r="581" spans="1:14">
      <c r="A581" s="113"/>
      <c r="B581" s="113"/>
      <c r="C581" s="113"/>
      <c r="D581" s="113"/>
      <c r="E581" s="350"/>
      <c r="F581" s="130"/>
      <c r="G581" s="237"/>
      <c r="H581" s="237"/>
      <c r="I581" s="22"/>
      <c r="J581" s="22"/>
      <c r="K581" s="22"/>
      <c r="L581" s="22"/>
      <c r="M581" s="22"/>
      <c r="N581" s="22"/>
    </row>
    <row r="582" spans="1:14">
      <c r="A582" s="130"/>
      <c r="B582" s="130"/>
      <c r="C582" s="130"/>
      <c r="D582" s="130"/>
      <c r="E582" s="130"/>
      <c r="F582" s="130"/>
      <c r="G582" s="237"/>
      <c r="H582" s="237"/>
      <c r="I582" s="22"/>
      <c r="J582" s="22"/>
      <c r="K582" s="22"/>
      <c r="L582" s="22"/>
      <c r="M582" s="22"/>
      <c r="N582" s="22"/>
    </row>
    <row r="583" spans="1:14">
      <c r="A583" s="436"/>
      <c r="B583" s="436"/>
      <c r="C583" s="436"/>
      <c r="D583" s="436"/>
      <c r="E583" s="436"/>
      <c r="F583" s="436"/>
      <c r="G583" s="237"/>
      <c r="H583" s="237"/>
      <c r="I583" s="22"/>
      <c r="J583" s="22"/>
      <c r="K583" s="22"/>
      <c r="L583" s="22"/>
      <c r="M583" s="22"/>
      <c r="N583" s="22"/>
    </row>
    <row r="584" spans="1:14">
      <c r="A584" s="437"/>
      <c r="B584" s="237"/>
      <c r="C584" s="237"/>
      <c r="D584" s="237"/>
      <c r="E584" s="237"/>
      <c r="F584" s="237"/>
      <c r="G584" s="237"/>
      <c r="H584" s="237"/>
      <c r="I584" s="22"/>
      <c r="J584" s="22"/>
      <c r="K584" s="22"/>
      <c r="L584" s="22"/>
      <c r="M584" s="22"/>
      <c r="N584" s="22"/>
    </row>
    <row r="585" spans="1:14">
      <c r="A585" s="438"/>
      <c r="B585" s="237"/>
      <c r="C585" s="237"/>
      <c r="D585" s="237"/>
      <c r="E585" s="237"/>
      <c r="F585" s="237"/>
      <c r="G585" s="237"/>
      <c r="H585" s="237"/>
      <c r="I585" s="22"/>
      <c r="J585" s="22"/>
      <c r="K585" s="22"/>
      <c r="L585" s="22"/>
      <c r="M585" s="22"/>
      <c r="N585" s="22"/>
    </row>
    <row r="586" spans="1:14">
      <c r="A586" s="237"/>
      <c r="B586" s="237"/>
      <c r="C586" s="237"/>
      <c r="D586" s="237"/>
      <c r="E586" s="237"/>
      <c r="F586" s="237"/>
      <c r="G586" s="237"/>
      <c r="H586" s="237"/>
      <c r="I586" s="22"/>
      <c r="J586" s="22"/>
      <c r="K586" s="22"/>
      <c r="L586" s="22"/>
      <c r="M586" s="22"/>
      <c r="N586" s="22"/>
    </row>
    <row r="587" spans="1:14">
      <c r="A587" s="237"/>
      <c r="B587" s="237"/>
      <c r="C587" s="237"/>
      <c r="D587" s="237"/>
      <c r="E587" s="237"/>
      <c r="F587" s="237"/>
      <c r="G587" s="237"/>
      <c r="H587" s="237"/>
      <c r="I587" s="22"/>
      <c r="J587" s="22"/>
      <c r="K587" s="22"/>
      <c r="L587" s="22"/>
      <c r="M587" s="22"/>
      <c r="N587" s="22"/>
    </row>
    <row r="588" spans="1:14">
      <c r="A588" s="113"/>
      <c r="B588" s="113"/>
      <c r="C588" s="113"/>
      <c r="D588" s="113"/>
      <c r="E588" s="113"/>
      <c r="F588" s="87"/>
      <c r="G588" s="237"/>
      <c r="H588" s="237"/>
      <c r="I588" s="22"/>
      <c r="J588" s="22"/>
      <c r="K588" s="22"/>
      <c r="L588" s="22"/>
      <c r="M588" s="22"/>
      <c r="N588" s="22"/>
    </row>
    <row r="589" spans="1:14" s="139" customFormat="1" ht="15" customHeight="1">
      <c r="A589" s="439"/>
      <c r="B589" s="440"/>
      <c r="C589" s="440"/>
      <c r="D589" s="440"/>
      <c r="E589" s="440"/>
      <c r="F589" s="441"/>
      <c r="G589" s="289"/>
      <c r="H589" s="289"/>
      <c r="I589" s="143"/>
      <c r="J589" s="143"/>
      <c r="K589" s="143"/>
      <c r="L589" s="143"/>
      <c r="M589" s="143"/>
      <c r="N589" s="143"/>
    </row>
    <row r="590" spans="1:14">
      <c r="A590" s="405"/>
      <c r="B590" s="405"/>
      <c r="C590" s="405"/>
      <c r="D590" s="405"/>
      <c r="E590" s="405"/>
      <c r="F590" s="442"/>
      <c r="G590" s="237"/>
      <c r="H590" s="237"/>
      <c r="I590" s="22"/>
      <c r="J590" s="22"/>
      <c r="K590" s="22"/>
      <c r="L590" s="22"/>
      <c r="M590" s="22"/>
      <c r="N590" s="22"/>
    </row>
    <row r="591" spans="1:14">
      <c r="A591" s="435"/>
      <c r="B591" s="130"/>
      <c r="C591" s="130"/>
      <c r="D591" s="130"/>
      <c r="E591" s="130"/>
      <c r="F591" s="130"/>
      <c r="G591" s="237"/>
      <c r="H591" s="237"/>
      <c r="I591" s="22"/>
      <c r="J591" s="22"/>
      <c r="K591" s="22"/>
      <c r="L591" s="22"/>
      <c r="M591" s="22"/>
      <c r="N591" s="22"/>
    </row>
    <row r="592" spans="1:14">
      <c r="A592" s="113"/>
      <c r="B592" s="113"/>
      <c r="C592" s="113"/>
      <c r="D592" s="113"/>
      <c r="E592" s="87"/>
      <c r="F592" s="87"/>
      <c r="G592" s="237"/>
      <c r="H592" s="237"/>
      <c r="I592" s="22"/>
      <c r="J592" s="22"/>
      <c r="K592" s="22"/>
      <c r="L592" s="22"/>
      <c r="M592" s="22"/>
      <c r="N592" s="22"/>
    </row>
    <row r="593" spans="1:14">
      <c r="A593" s="115"/>
      <c r="B593" s="115"/>
      <c r="C593" s="115"/>
      <c r="D593" s="115"/>
      <c r="E593" s="119"/>
      <c r="F593" s="419"/>
      <c r="G593" s="237"/>
      <c r="H593" s="237"/>
      <c r="I593" s="22"/>
      <c r="J593" s="22"/>
      <c r="K593" s="22"/>
      <c r="L593" s="22"/>
      <c r="M593" s="22"/>
      <c r="N593" s="22"/>
    </row>
    <row r="594" spans="1:14">
      <c r="A594" s="115"/>
      <c r="B594" s="115"/>
      <c r="C594" s="115"/>
      <c r="D594" s="115"/>
      <c r="E594" s="119"/>
      <c r="F594" s="419"/>
      <c r="G594" s="237"/>
      <c r="H594" s="237"/>
      <c r="I594" s="22"/>
      <c r="J594" s="22"/>
      <c r="K594" s="22"/>
      <c r="L594" s="22"/>
      <c r="M594" s="22"/>
      <c r="N594" s="22"/>
    </row>
    <row r="595" spans="1:14">
      <c r="A595" s="115"/>
      <c r="B595" s="115"/>
      <c r="C595" s="115"/>
      <c r="D595" s="115"/>
      <c r="E595" s="119"/>
      <c r="F595" s="419"/>
      <c r="G595" s="237"/>
      <c r="H595" s="237"/>
      <c r="I595" s="22"/>
      <c r="J595" s="22"/>
      <c r="K595" s="22"/>
      <c r="L595" s="22"/>
      <c r="M595" s="22"/>
      <c r="N595" s="22"/>
    </row>
    <row r="596" spans="1:14">
      <c r="A596" s="115"/>
      <c r="B596" s="115"/>
      <c r="C596" s="115"/>
      <c r="D596" s="115"/>
      <c r="E596" s="119"/>
      <c r="F596" s="419"/>
      <c r="G596" s="237"/>
      <c r="H596" s="237"/>
      <c r="I596" s="22"/>
      <c r="J596" s="22"/>
      <c r="K596" s="22"/>
      <c r="L596" s="22"/>
      <c r="M596" s="22"/>
      <c r="N596" s="22"/>
    </row>
    <row r="597" spans="1:14">
      <c r="A597" s="213"/>
      <c r="B597" s="213"/>
      <c r="C597" s="213"/>
      <c r="D597" s="213"/>
      <c r="E597" s="119"/>
      <c r="F597" s="419"/>
      <c r="G597" s="237"/>
      <c r="H597" s="237"/>
      <c r="I597" s="22"/>
      <c r="J597" s="22"/>
      <c r="K597" s="22"/>
      <c r="L597" s="22"/>
      <c r="M597" s="22"/>
      <c r="N597" s="22"/>
    </row>
    <row r="598" spans="1:14">
      <c r="A598" s="113"/>
      <c r="B598" s="113"/>
      <c r="C598" s="113"/>
      <c r="D598" s="113"/>
      <c r="E598" s="123"/>
      <c r="F598" s="433"/>
      <c r="G598" s="237"/>
      <c r="H598" s="237"/>
      <c r="I598" s="22"/>
      <c r="J598" s="22"/>
      <c r="K598" s="22"/>
      <c r="L598" s="22"/>
      <c r="M598" s="22"/>
      <c r="N598" s="22"/>
    </row>
    <row r="599" spans="1:14">
      <c r="A599" s="237"/>
      <c r="B599" s="237"/>
      <c r="C599" s="237"/>
      <c r="D599" s="237"/>
      <c r="E599" s="237"/>
      <c r="F599" s="237"/>
      <c r="G599" s="237"/>
      <c r="H599" s="237"/>
      <c r="I599" s="22"/>
      <c r="J599" s="22"/>
      <c r="K599" s="22"/>
      <c r="L599" s="22"/>
      <c r="M599" s="22"/>
      <c r="N599" s="22"/>
    </row>
    <row r="600" spans="1:14">
      <c r="A600" s="113"/>
      <c r="B600" s="113"/>
      <c r="C600" s="113"/>
      <c r="D600" s="113"/>
      <c r="E600" s="87"/>
      <c r="F600" s="87"/>
      <c r="G600" s="237"/>
      <c r="H600" s="237"/>
      <c r="I600" s="22"/>
      <c r="J600" s="22"/>
      <c r="K600" s="22"/>
      <c r="L600" s="22"/>
      <c r="M600" s="22"/>
      <c r="N600" s="22"/>
    </row>
    <row r="601" spans="1:14">
      <c r="A601" s="213"/>
      <c r="B601" s="213"/>
      <c r="C601" s="213"/>
      <c r="D601" s="213"/>
      <c r="E601" s="119"/>
      <c r="F601" s="419"/>
      <c r="G601" s="237"/>
      <c r="H601" s="237"/>
      <c r="I601" s="22"/>
      <c r="J601" s="22"/>
      <c r="K601" s="22"/>
      <c r="L601" s="22"/>
      <c r="M601" s="22"/>
      <c r="N601" s="22"/>
    </row>
    <row r="602" spans="1:14">
      <c r="A602" s="213"/>
      <c r="B602" s="213"/>
      <c r="C602" s="213"/>
      <c r="D602" s="213"/>
      <c r="E602" s="119"/>
      <c r="F602" s="419"/>
      <c r="G602" s="237"/>
      <c r="H602" s="237"/>
      <c r="I602" s="22"/>
      <c r="J602" s="22"/>
      <c r="K602" s="22"/>
      <c r="L602" s="22"/>
      <c r="M602" s="22"/>
      <c r="N602" s="22"/>
    </row>
    <row r="603" spans="1:14">
      <c r="A603" s="115"/>
      <c r="B603" s="115"/>
      <c r="C603" s="115"/>
      <c r="D603" s="115"/>
      <c r="E603" s="119"/>
      <c r="F603" s="419"/>
      <c r="G603" s="237"/>
      <c r="H603" s="237"/>
      <c r="I603" s="22"/>
      <c r="J603" s="22"/>
      <c r="K603" s="22"/>
      <c r="L603" s="22"/>
      <c r="M603" s="22"/>
      <c r="N603" s="22"/>
    </row>
    <row r="604" spans="1:14">
      <c r="A604" s="115"/>
      <c r="B604" s="115"/>
      <c r="C604" s="115"/>
      <c r="D604" s="115"/>
      <c r="E604" s="119"/>
      <c r="F604" s="419"/>
      <c r="G604" s="237"/>
      <c r="H604" s="237"/>
      <c r="I604" s="22"/>
      <c r="J604" s="22"/>
      <c r="K604" s="22"/>
      <c r="L604" s="22"/>
      <c r="M604" s="22"/>
      <c r="N604" s="22"/>
    </row>
    <row r="605" spans="1:14">
      <c r="A605" s="115"/>
      <c r="B605" s="115"/>
      <c r="C605" s="115"/>
      <c r="D605" s="115"/>
      <c r="E605" s="119"/>
      <c r="F605" s="419"/>
      <c r="G605" s="237"/>
      <c r="H605" s="237"/>
      <c r="I605" s="22"/>
      <c r="J605" s="22"/>
      <c r="K605" s="22"/>
      <c r="L605" s="22"/>
      <c r="M605" s="22"/>
      <c r="N605" s="22"/>
    </row>
    <row r="606" spans="1:14">
      <c r="A606" s="115"/>
      <c r="B606" s="115"/>
      <c r="C606" s="115"/>
      <c r="D606" s="115"/>
      <c r="E606" s="119"/>
      <c r="F606" s="419"/>
      <c r="G606" s="237"/>
      <c r="H606" s="237"/>
      <c r="I606" s="22"/>
      <c r="J606" s="22"/>
      <c r="K606" s="22"/>
      <c r="L606" s="22"/>
      <c r="M606" s="22"/>
      <c r="N606" s="22"/>
    </row>
    <row r="607" spans="1:14">
      <c r="A607" s="115"/>
      <c r="B607" s="115"/>
      <c r="C607" s="115"/>
      <c r="D607" s="115"/>
      <c r="E607" s="119"/>
      <c r="F607" s="419"/>
      <c r="G607" s="237"/>
      <c r="H607" s="237"/>
      <c r="I607" s="22"/>
      <c r="J607" s="22"/>
      <c r="K607" s="22"/>
      <c r="L607" s="22"/>
      <c r="M607" s="22"/>
      <c r="N607" s="22"/>
    </row>
    <row r="608" spans="1:14">
      <c r="A608" s="115"/>
      <c r="B608" s="115"/>
      <c r="C608" s="115"/>
      <c r="D608" s="115"/>
      <c r="E608" s="119"/>
      <c r="F608" s="419"/>
      <c r="G608" s="237"/>
      <c r="H608" s="237"/>
      <c r="I608" s="22"/>
      <c r="J608" s="22"/>
      <c r="K608" s="22"/>
      <c r="L608" s="22"/>
      <c r="M608" s="22"/>
      <c r="N608" s="22"/>
    </row>
    <row r="609" spans="1:14">
      <c r="A609" s="115"/>
      <c r="B609" s="115"/>
      <c r="C609" s="115"/>
      <c r="D609" s="115"/>
      <c r="E609" s="119"/>
      <c r="F609" s="419"/>
      <c r="G609" s="237"/>
      <c r="H609" s="237"/>
      <c r="I609" s="22"/>
      <c r="J609" s="22"/>
      <c r="K609" s="22"/>
      <c r="L609" s="22"/>
      <c r="M609" s="22"/>
      <c r="N609" s="22"/>
    </row>
    <row r="610" spans="1:14">
      <c r="A610" s="115"/>
      <c r="B610" s="115"/>
      <c r="C610" s="115"/>
      <c r="D610" s="115"/>
      <c r="E610" s="119"/>
      <c r="F610" s="419"/>
      <c r="G610" s="237"/>
      <c r="H610" s="237"/>
      <c r="I610" s="22"/>
      <c r="J610" s="22"/>
      <c r="K610" s="22"/>
      <c r="L610" s="22"/>
      <c r="M610" s="22"/>
      <c r="N610" s="22"/>
    </row>
    <row r="611" spans="1:14">
      <c r="A611" s="113"/>
      <c r="B611" s="113"/>
      <c r="C611" s="113"/>
      <c r="D611" s="113"/>
      <c r="E611" s="123"/>
      <c r="F611" s="350"/>
      <c r="G611" s="237"/>
      <c r="H611" s="237"/>
      <c r="I611" s="22"/>
      <c r="J611" s="22"/>
      <c r="K611" s="22"/>
      <c r="L611" s="22"/>
      <c r="M611" s="22"/>
      <c r="N611" s="22"/>
    </row>
    <row r="612" spans="1:14">
      <c r="A612" s="237"/>
      <c r="B612" s="237"/>
      <c r="C612" s="237"/>
      <c r="D612" s="237"/>
      <c r="E612" s="237"/>
      <c r="F612" s="237"/>
      <c r="G612" s="237"/>
      <c r="H612" s="237"/>
      <c r="I612" s="22"/>
      <c r="J612" s="22"/>
      <c r="K612" s="22"/>
      <c r="L612" s="22"/>
      <c r="M612" s="22"/>
      <c r="N612" s="22"/>
    </row>
    <row r="613" spans="1:14">
      <c r="A613" s="435"/>
      <c r="B613" s="130"/>
      <c r="C613" s="130"/>
      <c r="D613" s="130"/>
      <c r="E613" s="130"/>
      <c r="F613" s="130"/>
      <c r="G613" s="237"/>
      <c r="H613" s="237"/>
      <c r="I613" s="22"/>
      <c r="J613" s="22"/>
      <c r="K613" s="22"/>
      <c r="L613" s="22"/>
      <c r="M613" s="22"/>
      <c r="N613" s="22"/>
    </row>
    <row r="614" spans="1:14">
      <c r="A614" s="115"/>
      <c r="B614" s="115"/>
      <c r="C614" s="115"/>
      <c r="D614" s="115"/>
      <c r="E614" s="419"/>
      <c r="F614" s="130"/>
      <c r="G614" s="237"/>
      <c r="H614" s="237"/>
      <c r="I614" s="22"/>
      <c r="J614" s="22"/>
      <c r="K614" s="22"/>
      <c r="L614" s="22"/>
      <c r="M614" s="22"/>
      <c r="N614" s="22"/>
    </row>
    <row r="615" spans="1:14">
      <c r="A615" s="115"/>
      <c r="B615" s="115"/>
      <c r="C615" s="115"/>
      <c r="D615" s="115"/>
      <c r="E615" s="419"/>
      <c r="F615" s="130"/>
      <c r="G615" s="237"/>
      <c r="H615" s="237"/>
      <c r="I615" s="22"/>
      <c r="J615" s="22"/>
      <c r="K615" s="22"/>
      <c r="L615" s="22"/>
      <c r="M615" s="22"/>
      <c r="N615" s="22"/>
    </row>
    <row r="616" spans="1:14">
      <c r="A616" s="115"/>
      <c r="B616" s="115"/>
      <c r="C616" s="115"/>
      <c r="D616" s="115"/>
      <c r="E616" s="419"/>
      <c r="F616" s="130"/>
      <c r="G616" s="237"/>
      <c r="H616" s="237"/>
      <c r="I616" s="22"/>
      <c r="J616" s="22"/>
      <c r="K616" s="22"/>
      <c r="L616" s="22"/>
      <c r="M616" s="22"/>
      <c r="N616" s="22"/>
    </row>
    <row r="617" spans="1:14">
      <c r="A617" s="113"/>
      <c r="B617" s="113"/>
      <c r="C617" s="113"/>
      <c r="D617" s="113"/>
      <c r="E617" s="350"/>
      <c r="F617" s="130"/>
      <c r="G617" s="237"/>
      <c r="H617" s="237"/>
      <c r="I617" s="22"/>
      <c r="J617" s="22"/>
      <c r="K617" s="22"/>
      <c r="L617" s="22"/>
      <c r="M617" s="22"/>
      <c r="N617" s="22"/>
    </row>
    <row r="618" spans="1:14">
      <c r="A618" s="126"/>
      <c r="B618" s="126"/>
      <c r="C618" s="126"/>
      <c r="D618" s="126"/>
      <c r="E618" s="350"/>
      <c r="F618" s="130"/>
      <c r="G618" s="237"/>
      <c r="H618" s="237"/>
      <c r="I618" s="22"/>
      <c r="J618" s="22"/>
      <c r="K618" s="22"/>
      <c r="L618" s="22"/>
      <c r="M618" s="22"/>
      <c r="N618" s="22"/>
    </row>
    <row r="619" spans="1:14">
      <c r="A619" s="126"/>
      <c r="B619" s="126"/>
      <c r="C619" s="126"/>
      <c r="D619" s="126"/>
      <c r="E619" s="350"/>
      <c r="F619" s="130"/>
      <c r="G619" s="237"/>
      <c r="H619" s="237"/>
      <c r="I619" s="22"/>
      <c r="J619" s="22"/>
      <c r="K619" s="22"/>
      <c r="L619" s="22"/>
      <c r="M619" s="22"/>
      <c r="N619" s="22"/>
    </row>
    <row r="620" spans="1:14">
      <c r="A620" s="436"/>
      <c r="B620" s="443"/>
      <c r="C620" s="443"/>
      <c r="D620" s="443"/>
      <c r="E620" s="443"/>
      <c r="F620" s="443"/>
      <c r="G620" s="237"/>
      <c r="H620" s="237"/>
      <c r="I620" s="22"/>
      <c r="J620" s="22"/>
      <c r="K620" s="22"/>
      <c r="L620" s="22"/>
      <c r="M620" s="22"/>
      <c r="N620" s="22"/>
    </row>
    <row r="621" spans="1:14">
      <c r="A621" s="438"/>
      <c r="B621" s="237"/>
      <c r="C621" s="237"/>
      <c r="D621" s="237"/>
      <c r="E621" s="237"/>
      <c r="F621" s="237"/>
      <c r="G621" s="237"/>
      <c r="H621" s="237"/>
      <c r="I621" s="22"/>
      <c r="J621" s="22"/>
      <c r="K621" s="22"/>
      <c r="L621" s="22"/>
      <c r="M621" s="22"/>
      <c r="N621" s="22"/>
    </row>
    <row r="622" spans="1:14">
      <c r="A622" s="237"/>
      <c r="B622" s="237"/>
      <c r="C622" s="237"/>
      <c r="D622" s="237"/>
      <c r="E622" s="237"/>
      <c r="F622" s="237"/>
      <c r="G622" s="237"/>
      <c r="H622" s="237"/>
      <c r="I622" s="22"/>
      <c r="J622" s="22"/>
      <c r="K622" s="22"/>
      <c r="L622" s="22"/>
      <c r="M622" s="22"/>
      <c r="N622" s="22"/>
    </row>
    <row r="623" spans="1:14">
      <c r="A623" s="237"/>
      <c r="B623" s="237"/>
      <c r="C623" s="237"/>
      <c r="D623" s="237"/>
      <c r="E623" s="237"/>
      <c r="F623" s="237"/>
      <c r="G623" s="237"/>
      <c r="H623" s="237"/>
      <c r="I623" s="22"/>
      <c r="J623" s="22"/>
      <c r="K623" s="22"/>
      <c r="L623" s="22"/>
      <c r="M623" s="22"/>
      <c r="N623" s="22"/>
    </row>
    <row r="624" spans="1:14">
      <c r="A624" s="113"/>
      <c r="B624" s="113"/>
      <c r="C624" s="113"/>
      <c r="D624" s="113"/>
      <c r="E624" s="113"/>
      <c r="F624" s="87"/>
      <c r="G624" s="237"/>
      <c r="H624" s="237"/>
      <c r="I624" s="22"/>
      <c r="J624" s="22"/>
      <c r="K624" s="22"/>
      <c r="L624" s="22"/>
      <c r="M624" s="22"/>
      <c r="N624" s="22"/>
    </row>
    <row r="625" spans="1:14">
      <c r="A625" s="439"/>
      <c r="B625" s="439"/>
      <c r="C625" s="439"/>
      <c r="D625" s="439"/>
      <c r="E625" s="439"/>
      <c r="F625" s="444"/>
      <c r="G625" s="237"/>
      <c r="H625" s="237"/>
      <c r="I625" s="22"/>
      <c r="J625" s="22"/>
      <c r="K625" s="22"/>
      <c r="L625" s="22"/>
      <c r="M625" s="22"/>
      <c r="N625" s="22"/>
    </row>
    <row r="626" spans="1:14">
      <c r="A626" s="115"/>
      <c r="B626" s="115"/>
      <c r="C626" s="115"/>
      <c r="D626" s="115"/>
      <c r="E626" s="115"/>
      <c r="F626" s="442"/>
      <c r="G626" s="237"/>
      <c r="H626" s="237"/>
      <c r="I626" s="22"/>
      <c r="J626" s="22"/>
      <c r="K626" s="22"/>
      <c r="L626" s="22"/>
      <c r="M626" s="22"/>
      <c r="N626" s="22"/>
    </row>
    <row r="627" spans="1:14">
      <c r="A627" s="113"/>
      <c r="B627" s="113"/>
      <c r="C627" s="113"/>
      <c r="D627" s="113"/>
      <c r="E627" s="113"/>
      <c r="F627" s="445"/>
      <c r="G627" s="237"/>
      <c r="H627" s="237"/>
      <c r="I627" s="22"/>
      <c r="J627" s="22"/>
      <c r="K627" s="22"/>
      <c r="L627" s="22"/>
      <c r="M627" s="22"/>
      <c r="N627" s="22"/>
    </row>
    <row r="628" spans="1:14">
      <c r="A628" s="130"/>
      <c r="B628" s="130"/>
      <c r="C628" s="130"/>
      <c r="D628" s="130"/>
      <c r="E628" s="130"/>
      <c r="F628" s="130"/>
      <c r="G628" s="237"/>
      <c r="H628" s="237"/>
      <c r="I628" s="22"/>
      <c r="J628" s="22"/>
      <c r="K628" s="22"/>
      <c r="L628" s="22"/>
      <c r="M628" s="22"/>
      <c r="N628" s="22"/>
    </row>
    <row r="629" spans="1:14">
      <c r="A629" s="435"/>
      <c r="B629" s="130"/>
      <c r="C629" s="130"/>
      <c r="D629" s="130"/>
      <c r="E629" s="130"/>
      <c r="F629" s="130"/>
      <c r="G629" s="237"/>
      <c r="H629" s="237"/>
      <c r="I629" s="22"/>
      <c r="J629" s="22"/>
      <c r="K629" s="22"/>
      <c r="L629" s="22"/>
      <c r="M629" s="22"/>
      <c r="N629" s="22"/>
    </row>
    <row r="630" spans="1:14">
      <c r="A630" s="113"/>
      <c r="B630" s="113"/>
      <c r="C630" s="113"/>
      <c r="D630" s="113"/>
      <c r="E630" s="87"/>
      <c r="F630" s="87"/>
      <c r="G630" s="237"/>
      <c r="H630" s="237"/>
      <c r="I630" s="22"/>
      <c r="J630" s="22"/>
      <c r="K630" s="22"/>
      <c r="L630" s="22"/>
      <c r="M630" s="22"/>
      <c r="N630" s="22"/>
    </row>
    <row r="631" spans="1:14">
      <c r="A631" s="115"/>
      <c r="B631" s="115"/>
      <c r="C631" s="115"/>
      <c r="D631" s="115"/>
      <c r="E631" s="119"/>
      <c r="F631" s="419"/>
      <c r="G631" s="237"/>
      <c r="H631" s="237"/>
      <c r="I631" s="22"/>
      <c r="J631" s="22"/>
      <c r="K631" s="22"/>
      <c r="L631" s="22"/>
      <c r="M631" s="22"/>
      <c r="N631" s="22"/>
    </row>
    <row r="632" spans="1:14">
      <c r="A632" s="115"/>
      <c r="B632" s="115"/>
      <c r="C632" s="115"/>
      <c r="D632" s="115"/>
      <c r="E632" s="119"/>
      <c r="F632" s="419"/>
      <c r="G632" s="237"/>
      <c r="H632" s="237"/>
      <c r="I632" s="22"/>
      <c r="J632" s="22"/>
      <c r="K632" s="22"/>
      <c r="L632" s="22"/>
      <c r="M632" s="22"/>
      <c r="N632" s="22"/>
    </row>
    <row r="633" spans="1:14">
      <c r="A633" s="115"/>
      <c r="B633" s="115"/>
      <c r="C633" s="115"/>
      <c r="D633" s="115"/>
      <c r="E633" s="119"/>
      <c r="F633" s="419"/>
      <c r="G633" s="237"/>
      <c r="H633" s="237"/>
      <c r="I633" s="22"/>
      <c r="J633" s="22"/>
      <c r="K633" s="22"/>
      <c r="L633" s="22"/>
      <c r="M633" s="22"/>
      <c r="N633" s="22"/>
    </row>
    <row r="634" spans="1:14">
      <c r="A634" s="115"/>
      <c r="B634" s="115"/>
      <c r="C634" s="115"/>
      <c r="D634" s="115"/>
      <c r="E634" s="119"/>
      <c r="F634" s="419"/>
      <c r="G634" s="237"/>
      <c r="H634" s="237"/>
      <c r="I634" s="22"/>
      <c r="J634" s="22"/>
      <c r="K634" s="22"/>
      <c r="L634" s="22"/>
      <c r="M634" s="22"/>
      <c r="N634" s="22"/>
    </row>
    <row r="635" spans="1:14">
      <c r="A635" s="213"/>
      <c r="B635" s="213"/>
      <c r="C635" s="213"/>
      <c r="D635" s="213"/>
      <c r="E635" s="119"/>
      <c r="F635" s="419"/>
      <c r="G635" s="237"/>
      <c r="H635" s="237"/>
      <c r="I635" s="22"/>
      <c r="J635" s="22"/>
      <c r="K635" s="22"/>
      <c r="L635" s="22"/>
      <c r="M635" s="22"/>
      <c r="N635" s="22"/>
    </row>
    <row r="636" spans="1:14">
      <c r="A636" s="113"/>
      <c r="B636" s="113"/>
      <c r="C636" s="113"/>
      <c r="D636" s="113"/>
      <c r="E636" s="123"/>
      <c r="F636" s="433"/>
      <c r="G636" s="237"/>
      <c r="H636" s="237"/>
      <c r="I636" s="22"/>
      <c r="J636" s="22"/>
      <c r="K636" s="22"/>
      <c r="L636" s="22"/>
      <c r="M636" s="22"/>
      <c r="N636" s="22"/>
    </row>
    <row r="637" spans="1:14">
      <c r="A637" s="126"/>
      <c r="B637" s="126"/>
      <c r="C637" s="126"/>
      <c r="D637" s="126"/>
      <c r="E637" s="350"/>
      <c r="F637" s="130"/>
      <c r="G637" s="237"/>
      <c r="H637" s="237"/>
      <c r="I637" s="22"/>
      <c r="J637" s="22"/>
      <c r="K637" s="22"/>
      <c r="L637" s="22"/>
      <c r="M637" s="22"/>
      <c r="N637" s="22"/>
    </row>
    <row r="638" spans="1:14">
      <c r="A638" s="113"/>
      <c r="B638" s="113"/>
      <c r="C638" s="113"/>
      <c r="D638" s="113"/>
      <c r="E638" s="87"/>
      <c r="F638" s="87"/>
      <c r="G638" s="237"/>
      <c r="H638" s="237"/>
      <c r="I638" s="22"/>
      <c r="J638" s="22"/>
      <c r="K638" s="22"/>
      <c r="L638" s="22"/>
      <c r="M638" s="22"/>
      <c r="N638" s="22"/>
    </row>
    <row r="639" spans="1:14">
      <c r="A639" s="213"/>
      <c r="B639" s="213"/>
      <c r="C639" s="213"/>
      <c r="D639" s="213"/>
      <c r="E639" s="119"/>
      <c r="F639" s="419"/>
      <c r="G639" s="237"/>
      <c r="H639" s="237"/>
      <c r="I639" s="22"/>
      <c r="J639" s="22"/>
      <c r="K639" s="22"/>
      <c r="L639" s="22"/>
      <c r="M639" s="22"/>
      <c r="N639" s="22"/>
    </row>
    <row r="640" spans="1:14" ht="27" customHeight="1">
      <c r="A640" s="213"/>
      <c r="B640" s="213"/>
      <c r="C640" s="213"/>
      <c r="D640" s="213"/>
      <c r="E640" s="119"/>
      <c r="F640" s="419"/>
      <c r="G640" s="237"/>
      <c r="H640" s="237"/>
      <c r="I640" s="22"/>
      <c r="J640" s="22"/>
      <c r="K640" s="22"/>
      <c r="L640" s="22"/>
      <c r="M640" s="22"/>
      <c r="N640" s="22"/>
    </row>
    <row r="641" spans="1:14">
      <c r="A641" s="115"/>
      <c r="B641" s="115"/>
      <c r="C641" s="115"/>
      <c r="D641" s="115"/>
      <c r="E641" s="119"/>
      <c r="F641" s="419"/>
      <c r="G641" s="237"/>
      <c r="H641" s="237"/>
      <c r="I641" s="22"/>
      <c r="J641" s="22"/>
      <c r="K641" s="22"/>
      <c r="L641" s="22"/>
      <c r="M641" s="22"/>
      <c r="N641" s="22"/>
    </row>
    <row r="642" spans="1:14">
      <c r="A642" s="115"/>
      <c r="B642" s="115"/>
      <c r="C642" s="115"/>
      <c r="D642" s="115"/>
      <c r="E642" s="119"/>
      <c r="F642" s="419"/>
      <c r="G642" s="237"/>
      <c r="H642" s="237"/>
      <c r="I642" s="22"/>
      <c r="J642" s="22"/>
      <c r="K642" s="22"/>
      <c r="L642" s="22"/>
      <c r="M642" s="22"/>
      <c r="N642" s="22"/>
    </row>
    <row r="643" spans="1:14">
      <c r="A643" s="115"/>
      <c r="B643" s="115"/>
      <c r="C643" s="115"/>
      <c r="D643" s="115"/>
      <c r="E643" s="119"/>
      <c r="F643" s="419"/>
      <c r="G643" s="237"/>
      <c r="H643" s="237"/>
      <c r="I643" s="22"/>
      <c r="J643" s="22"/>
      <c r="K643" s="22"/>
      <c r="L643" s="22"/>
      <c r="M643" s="22"/>
      <c r="N643" s="22"/>
    </row>
    <row r="644" spans="1:14">
      <c r="A644" s="115"/>
      <c r="B644" s="115"/>
      <c r="C644" s="115"/>
      <c r="D644" s="115"/>
      <c r="E644" s="119"/>
      <c r="F644" s="419"/>
      <c r="G644" s="237"/>
      <c r="H644" s="237"/>
      <c r="I644" s="22"/>
      <c r="J644" s="22"/>
      <c r="K644" s="22"/>
      <c r="L644" s="22"/>
      <c r="M644" s="22"/>
      <c r="N644" s="22"/>
    </row>
    <row r="645" spans="1:14">
      <c r="A645" s="115"/>
      <c r="B645" s="115"/>
      <c r="C645" s="115"/>
      <c r="D645" s="115"/>
      <c r="E645" s="119"/>
      <c r="F645" s="419"/>
      <c r="G645" s="237"/>
      <c r="H645" s="237"/>
      <c r="I645" s="22"/>
      <c r="J645" s="22"/>
      <c r="K645" s="22"/>
      <c r="L645" s="22"/>
      <c r="M645" s="22"/>
      <c r="N645" s="22"/>
    </row>
    <row r="646" spans="1:14">
      <c r="A646" s="115"/>
      <c r="B646" s="115"/>
      <c r="C646" s="115"/>
      <c r="D646" s="115"/>
      <c r="E646" s="119"/>
      <c r="F646" s="419"/>
      <c r="G646" s="237"/>
      <c r="H646" s="237"/>
      <c r="I646" s="22"/>
      <c r="J646" s="22"/>
      <c r="K646" s="22"/>
      <c r="L646" s="22"/>
      <c r="M646" s="22"/>
      <c r="N646" s="22"/>
    </row>
    <row r="647" spans="1:14">
      <c r="A647" s="115"/>
      <c r="B647" s="115"/>
      <c r="C647" s="115"/>
      <c r="D647" s="115"/>
      <c r="E647" s="119"/>
      <c r="F647" s="419"/>
      <c r="G647" s="237"/>
      <c r="H647" s="237"/>
      <c r="I647" s="22"/>
      <c r="J647" s="22"/>
      <c r="K647" s="22"/>
      <c r="L647" s="22"/>
      <c r="M647" s="22"/>
      <c r="N647" s="22"/>
    </row>
    <row r="648" spans="1:14">
      <c r="A648" s="115"/>
      <c r="B648" s="115"/>
      <c r="C648" s="115"/>
      <c r="D648" s="115"/>
      <c r="E648" s="119"/>
      <c r="F648" s="419"/>
      <c r="G648" s="237"/>
      <c r="H648" s="237"/>
      <c r="I648" s="22"/>
      <c r="J648" s="22"/>
      <c r="K648" s="22"/>
      <c r="L648" s="22"/>
      <c r="M648" s="22"/>
      <c r="N648" s="22"/>
    </row>
    <row r="649" spans="1:14">
      <c r="A649" s="113"/>
      <c r="B649" s="113"/>
      <c r="C649" s="113"/>
      <c r="D649" s="113"/>
      <c r="E649" s="123"/>
      <c r="F649" s="350"/>
      <c r="G649" s="237"/>
      <c r="H649" s="237"/>
      <c r="I649" s="22"/>
      <c r="J649" s="22"/>
      <c r="K649" s="22"/>
      <c r="L649" s="22"/>
      <c r="M649" s="22"/>
      <c r="N649" s="22"/>
    </row>
    <row r="650" spans="1:14">
      <c r="A650" s="126"/>
      <c r="B650" s="126"/>
      <c r="C650" s="126"/>
      <c r="D650" s="126"/>
      <c r="E650" s="350"/>
      <c r="F650" s="130"/>
      <c r="G650" s="237"/>
      <c r="H650" s="237"/>
      <c r="I650" s="22"/>
      <c r="J650" s="22"/>
      <c r="K650" s="22"/>
      <c r="L650" s="22"/>
      <c r="M650" s="22"/>
      <c r="N650" s="22"/>
    </row>
    <row r="651" spans="1:14">
      <c r="A651" s="435"/>
      <c r="B651" s="130"/>
      <c r="C651" s="130"/>
      <c r="D651" s="130"/>
      <c r="E651" s="130"/>
      <c r="F651" s="130"/>
      <c r="G651" s="237"/>
      <c r="H651" s="237"/>
      <c r="I651" s="22"/>
      <c r="J651" s="22"/>
      <c r="K651" s="22"/>
      <c r="L651" s="22"/>
      <c r="M651" s="22"/>
      <c r="N651" s="22"/>
    </row>
    <row r="652" spans="1:14">
      <c r="A652" s="115"/>
      <c r="B652" s="115"/>
      <c r="C652" s="115"/>
      <c r="D652" s="115"/>
      <c r="E652" s="419"/>
      <c r="F652" s="130"/>
      <c r="G652" s="237"/>
      <c r="H652" s="237"/>
      <c r="I652" s="22"/>
      <c r="J652" s="22"/>
      <c r="K652" s="22"/>
      <c r="L652" s="22"/>
      <c r="M652" s="22"/>
      <c r="N652" s="22"/>
    </row>
    <row r="653" spans="1:14">
      <c r="A653" s="115"/>
      <c r="B653" s="115"/>
      <c r="C653" s="115"/>
      <c r="D653" s="115"/>
      <c r="E653" s="419"/>
      <c r="F653" s="130"/>
      <c r="G653" s="237"/>
      <c r="H653" s="237"/>
      <c r="I653" s="22"/>
      <c r="J653" s="22"/>
      <c r="K653" s="22"/>
      <c r="L653" s="22"/>
      <c r="M653" s="22"/>
      <c r="N653" s="22"/>
    </row>
    <row r="654" spans="1:14">
      <c r="A654" s="115"/>
      <c r="B654" s="115"/>
      <c r="C654" s="115"/>
      <c r="D654" s="115"/>
      <c r="E654" s="419"/>
      <c r="F654" s="130"/>
      <c r="G654" s="237"/>
      <c r="H654" s="237"/>
      <c r="I654" s="22"/>
      <c r="J654" s="22"/>
      <c r="K654" s="22"/>
      <c r="L654" s="22"/>
      <c r="M654" s="22"/>
      <c r="N654" s="22"/>
    </row>
    <row r="655" spans="1:14">
      <c r="A655" s="113"/>
      <c r="B655" s="113"/>
      <c r="C655" s="113"/>
      <c r="D655" s="113"/>
      <c r="E655" s="350"/>
      <c r="F655" s="130"/>
      <c r="G655" s="237"/>
      <c r="H655" s="237"/>
      <c r="I655" s="22"/>
      <c r="J655" s="22"/>
      <c r="K655" s="22"/>
      <c r="L655" s="22"/>
      <c r="M655" s="22"/>
      <c r="N655" s="22"/>
    </row>
    <row r="656" spans="1:14">
      <c r="A656" s="126"/>
      <c r="B656" s="126"/>
      <c r="C656" s="126"/>
      <c r="D656" s="126"/>
      <c r="E656" s="350"/>
      <c r="F656" s="130"/>
      <c r="G656" s="237"/>
      <c r="H656" s="237"/>
      <c r="I656" s="22"/>
      <c r="J656" s="22"/>
      <c r="K656" s="22"/>
      <c r="L656" s="22"/>
      <c r="M656" s="22"/>
      <c r="N656" s="22"/>
    </row>
    <row r="657" spans="1:14">
      <c r="A657" s="237"/>
      <c r="B657" s="237"/>
      <c r="C657" s="237"/>
      <c r="D657" s="237"/>
      <c r="E657" s="237"/>
      <c r="F657" s="237"/>
      <c r="G657" s="237"/>
      <c r="H657" s="237"/>
      <c r="I657" s="22"/>
      <c r="J657" s="22"/>
      <c r="K657" s="22"/>
      <c r="L657" s="22"/>
      <c r="M657" s="22"/>
      <c r="N657" s="22"/>
    </row>
    <row r="658" spans="1:14">
      <c r="A658" s="446"/>
      <c r="B658" s="446"/>
      <c r="C658" s="446"/>
      <c r="D658" s="446"/>
      <c r="E658" s="446"/>
      <c r="F658" s="446"/>
      <c r="G658" s="446"/>
      <c r="H658" s="446"/>
      <c r="I658" s="22"/>
      <c r="J658" s="22"/>
      <c r="K658" s="22"/>
      <c r="L658" s="22"/>
      <c r="M658" s="22"/>
      <c r="N658" s="22"/>
    </row>
    <row r="659" spans="1:14" s="448" customFormat="1" ht="15" customHeight="1">
      <c r="A659" s="437"/>
      <c r="B659" s="437"/>
      <c r="C659" s="437"/>
      <c r="D659" s="437"/>
      <c r="E659" s="437"/>
      <c r="F659" s="437"/>
      <c r="G659" s="437"/>
      <c r="H659" s="437"/>
      <c r="I659" s="447"/>
      <c r="J659" s="447"/>
      <c r="K659" s="447"/>
      <c r="L659" s="447"/>
      <c r="M659" s="447"/>
      <c r="N659" s="447"/>
    </row>
    <row r="660" spans="1:14" s="187" customFormat="1" ht="15" customHeight="1">
      <c r="A660" s="446"/>
      <c r="B660" s="446"/>
      <c r="C660" s="446"/>
      <c r="D660" s="446"/>
      <c r="E660" s="449"/>
      <c r="F660" s="449"/>
      <c r="G660" s="437"/>
      <c r="H660" s="437"/>
      <c r="I660" s="450"/>
      <c r="J660" s="451"/>
      <c r="K660" s="451"/>
      <c r="L660" s="451"/>
      <c r="M660" s="451"/>
      <c r="N660" s="451"/>
    </row>
    <row r="661" spans="1:14" s="187" customFormat="1" ht="15" customHeight="1">
      <c r="A661" s="289"/>
      <c r="B661" s="289"/>
      <c r="C661" s="289"/>
      <c r="D661" s="289"/>
      <c r="E661" s="292"/>
      <c r="F661" s="452"/>
      <c r="G661" s="437"/>
      <c r="H661" s="437"/>
      <c r="I661" s="450"/>
      <c r="J661" s="451"/>
      <c r="K661" s="451"/>
      <c r="L661" s="451"/>
      <c r="M661" s="451"/>
      <c r="N661" s="451"/>
    </row>
    <row r="662" spans="1:14" s="187" customFormat="1" ht="15" customHeight="1">
      <c r="A662" s="438"/>
      <c r="B662" s="438"/>
      <c r="C662" s="438"/>
      <c r="D662" s="438"/>
      <c r="E662" s="453"/>
      <c r="F662" s="454"/>
      <c r="G662" s="437"/>
      <c r="H662" s="437"/>
      <c r="I662" s="450"/>
      <c r="J662" s="451"/>
      <c r="K662" s="451"/>
      <c r="L662" s="451"/>
      <c r="M662" s="451"/>
      <c r="N662" s="451"/>
    </row>
    <row r="663" spans="1:14" s="187" customFormat="1" ht="15" customHeight="1">
      <c r="A663" s="436"/>
      <c r="B663" s="443"/>
      <c r="C663" s="443"/>
      <c r="D663" s="443"/>
      <c r="E663" s="443"/>
      <c r="F663" s="454"/>
      <c r="G663" s="437"/>
      <c r="H663" s="437"/>
      <c r="I663" s="450"/>
      <c r="J663" s="451"/>
      <c r="K663" s="451"/>
      <c r="L663" s="451"/>
      <c r="M663" s="451"/>
      <c r="N663" s="451"/>
    </row>
    <row r="664" spans="1:14" s="187" customFormat="1" ht="15" customHeight="1">
      <c r="A664" s="446"/>
      <c r="B664" s="443"/>
      <c r="C664" s="443"/>
      <c r="D664" s="443"/>
      <c r="E664" s="443"/>
      <c r="F664" s="454"/>
      <c r="G664" s="437"/>
      <c r="H664" s="437"/>
      <c r="I664" s="450"/>
      <c r="J664" s="451"/>
      <c r="K664" s="451"/>
      <c r="L664" s="451"/>
      <c r="M664" s="451"/>
      <c r="N664" s="451"/>
    </row>
    <row r="665" spans="1:14" s="187" customFormat="1" ht="15" customHeight="1">
      <c r="A665" s="455"/>
      <c r="B665" s="456"/>
      <c r="C665" s="456"/>
      <c r="D665" s="456"/>
      <c r="E665" s="456"/>
      <c r="F665" s="457"/>
      <c r="G665" s="458"/>
      <c r="H665" s="437"/>
      <c r="I665" s="450"/>
      <c r="J665" s="451"/>
      <c r="K665" s="451"/>
      <c r="L665" s="451"/>
      <c r="M665" s="451"/>
      <c r="N665" s="451"/>
    </row>
    <row r="666" spans="1:14" s="187" customFormat="1" ht="15" customHeight="1">
      <c r="A666" s="446"/>
      <c r="B666" s="443"/>
      <c r="C666" s="443"/>
      <c r="D666" s="443"/>
      <c r="E666" s="443"/>
      <c r="F666" s="454"/>
      <c r="G666" s="437"/>
      <c r="H666" s="437"/>
      <c r="I666" s="450"/>
      <c r="J666" s="451"/>
      <c r="K666" s="451"/>
      <c r="L666" s="451"/>
      <c r="M666" s="451"/>
      <c r="N666" s="451"/>
    </row>
    <row r="667" spans="1:14" s="187" customFormat="1" ht="15" customHeight="1">
      <c r="A667" s="436"/>
      <c r="B667" s="443"/>
      <c r="C667" s="443"/>
      <c r="D667" s="443"/>
      <c r="E667" s="443"/>
      <c r="F667" s="454"/>
      <c r="G667" s="437"/>
      <c r="H667" s="437"/>
      <c r="I667" s="450"/>
      <c r="J667" s="451"/>
      <c r="K667" s="451"/>
      <c r="L667" s="451"/>
      <c r="M667" s="451"/>
      <c r="N667" s="451"/>
    </row>
    <row r="668" spans="1:14" s="187" customFormat="1" ht="15" customHeight="1">
      <c r="A668" s="446"/>
      <c r="B668" s="443"/>
      <c r="C668" s="443"/>
      <c r="D668" s="443"/>
      <c r="E668" s="443"/>
      <c r="F668" s="454"/>
      <c r="G668" s="437"/>
      <c r="H668" s="437"/>
      <c r="I668" s="450"/>
      <c r="J668" s="451"/>
      <c r="K668" s="451"/>
      <c r="L668" s="451"/>
      <c r="M668" s="451"/>
      <c r="N668" s="451"/>
    </row>
    <row r="669" spans="1:14" s="187" customFormat="1" ht="15" customHeight="1">
      <c r="A669" s="446"/>
      <c r="B669" s="437"/>
      <c r="C669" s="437"/>
      <c r="D669" s="437"/>
      <c r="E669" s="437"/>
      <c r="F669" s="454"/>
      <c r="G669" s="437"/>
      <c r="H669" s="437"/>
      <c r="I669" s="450"/>
      <c r="J669" s="451"/>
      <c r="K669" s="451"/>
      <c r="L669" s="451"/>
      <c r="M669" s="451"/>
      <c r="N669" s="451"/>
    </row>
    <row r="670" spans="1:14" s="187" customFormat="1" ht="15" customHeight="1">
      <c r="A670" s="446"/>
      <c r="B670" s="443"/>
      <c r="C670" s="443"/>
      <c r="D670" s="449"/>
      <c r="E670" s="443"/>
      <c r="F670" s="454"/>
      <c r="G670" s="437"/>
      <c r="H670" s="437"/>
      <c r="I670" s="450"/>
      <c r="J670" s="451"/>
      <c r="K670" s="451"/>
      <c r="L670" s="451"/>
      <c r="M670" s="451"/>
      <c r="N670" s="451"/>
    </row>
    <row r="671" spans="1:14" s="187" customFormat="1" ht="15" customHeight="1">
      <c r="A671" s="446"/>
      <c r="B671" s="443"/>
      <c r="C671" s="443"/>
      <c r="D671" s="449"/>
      <c r="E671" s="443"/>
      <c r="F671" s="454"/>
      <c r="G671" s="437"/>
      <c r="H671" s="437"/>
      <c r="I671" s="450"/>
      <c r="J671" s="451"/>
      <c r="K671" s="451"/>
      <c r="L671" s="451"/>
      <c r="M671" s="451"/>
      <c r="N671" s="451"/>
    </row>
    <row r="672" spans="1:14" s="187" customFormat="1" ht="15" customHeight="1">
      <c r="A672" s="446"/>
      <c r="B672" s="443"/>
      <c r="C672" s="443"/>
      <c r="D672" s="449"/>
      <c r="E672" s="443"/>
      <c r="F672" s="454"/>
      <c r="G672" s="437"/>
      <c r="H672" s="437"/>
      <c r="I672" s="450"/>
      <c r="J672" s="451"/>
      <c r="K672" s="451"/>
      <c r="L672" s="451"/>
      <c r="M672" s="451"/>
      <c r="N672" s="451"/>
    </row>
    <row r="673" spans="1:14" s="187" customFormat="1" ht="15" customHeight="1">
      <c r="A673" s="446"/>
      <c r="B673" s="443"/>
      <c r="C673" s="443"/>
      <c r="D673" s="443"/>
      <c r="E673" s="443"/>
      <c r="F673" s="454"/>
      <c r="G673" s="437"/>
      <c r="H673" s="437"/>
      <c r="I673" s="450"/>
      <c r="J673" s="451"/>
      <c r="K673" s="451"/>
      <c r="L673" s="451"/>
      <c r="M673" s="451"/>
      <c r="N673" s="451"/>
    </row>
    <row r="674" spans="1:14" s="187" customFormat="1" ht="15" customHeight="1">
      <c r="A674" s="437"/>
      <c r="B674" s="437"/>
      <c r="C674" s="437"/>
      <c r="D674" s="437"/>
      <c r="E674" s="459"/>
      <c r="F674" s="460"/>
      <c r="G674" s="437"/>
      <c r="H674" s="437"/>
      <c r="I674" s="450"/>
      <c r="J674" s="451"/>
      <c r="K674" s="451"/>
      <c r="L674" s="451"/>
      <c r="M674" s="451"/>
      <c r="N674" s="451"/>
    </row>
    <row r="675" spans="1:14" s="187" customFormat="1" ht="15" customHeight="1">
      <c r="A675" s="437"/>
      <c r="B675" s="437"/>
      <c r="C675" s="437"/>
      <c r="D675" s="437"/>
      <c r="E675" s="461"/>
      <c r="F675" s="454"/>
      <c r="G675" s="437"/>
      <c r="H675" s="437"/>
      <c r="I675" s="450"/>
      <c r="J675" s="451"/>
      <c r="K675" s="451"/>
      <c r="L675" s="451"/>
      <c r="M675" s="451"/>
      <c r="N675" s="451"/>
    </row>
    <row r="676" spans="1:14" s="187" customFormat="1" ht="15" customHeight="1">
      <c r="A676" s="437"/>
      <c r="B676" s="437"/>
      <c r="C676" s="437"/>
      <c r="D676" s="437"/>
      <c r="E676" s="462"/>
      <c r="F676" s="454"/>
      <c r="G676" s="437"/>
      <c r="H676" s="437"/>
      <c r="I676" s="450"/>
      <c r="J676" s="451"/>
      <c r="K676" s="451"/>
      <c r="L676" s="451"/>
      <c r="M676" s="451"/>
      <c r="N676" s="451"/>
    </row>
    <row r="677" spans="1:14" s="187" customFormat="1" ht="15" customHeight="1">
      <c r="A677" s="446"/>
      <c r="B677" s="446"/>
      <c r="C677" s="446"/>
      <c r="D677" s="446"/>
      <c r="E677" s="463"/>
      <c r="F677" s="454"/>
      <c r="G677" s="437"/>
      <c r="H677" s="437"/>
      <c r="I677" s="450"/>
      <c r="J677" s="451"/>
      <c r="K677" s="451"/>
      <c r="L677" s="451"/>
      <c r="M677" s="451"/>
      <c r="N677" s="451"/>
    </row>
    <row r="678" spans="1:14" s="187" customFormat="1" ht="15" customHeight="1">
      <c r="A678" s="438"/>
      <c r="B678" s="438"/>
      <c r="C678" s="438"/>
      <c r="D678" s="438"/>
      <c r="E678" s="464"/>
      <c r="F678" s="454"/>
      <c r="G678" s="437"/>
      <c r="H678" s="437"/>
      <c r="I678" s="450"/>
      <c r="J678" s="451"/>
      <c r="K678" s="451"/>
      <c r="L678" s="451"/>
      <c r="M678" s="451"/>
      <c r="N678" s="451"/>
    </row>
    <row r="679" spans="1:14" s="187" customFormat="1" ht="15" customHeight="1">
      <c r="A679" s="465"/>
      <c r="B679" s="237"/>
      <c r="C679" s="237"/>
      <c r="D679" s="237"/>
      <c r="E679" s="466"/>
      <c r="F679" s="467"/>
      <c r="G679" s="237"/>
      <c r="H679" s="237"/>
      <c r="I679" s="450"/>
      <c r="J679" s="451"/>
      <c r="K679" s="451"/>
      <c r="L679" s="451"/>
      <c r="M679" s="451"/>
      <c r="N679" s="451"/>
    </row>
    <row r="680" spans="1:14" s="187" customFormat="1" ht="15" customHeight="1">
      <c r="A680" s="237"/>
      <c r="B680" s="216"/>
      <c r="C680" s="216"/>
      <c r="D680" s="216"/>
      <c r="E680" s="216"/>
      <c r="F680" s="216"/>
      <c r="G680" s="216"/>
      <c r="H680" s="216"/>
      <c r="I680" s="450"/>
      <c r="J680" s="451"/>
      <c r="K680" s="451"/>
      <c r="L680" s="451"/>
      <c r="M680" s="451"/>
      <c r="N680" s="451"/>
    </row>
    <row r="681" spans="1:14" s="187" customFormat="1" ht="15" customHeight="1">
      <c r="A681" s="216"/>
      <c r="B681" s="237"/>
      <c r="C681" s="237"/>
      <c r="D681" s="237"/>
      <c r="E681" s="237"/>
      <c r="F681" s="237"/>
      <c r="G681" s="237"/>
      <c r="H681" s="237"/>
      <c r="I681" s="450"/>
      <c r="J681" s="451"/>
      <c r="K681" s="451"/>
      <c r="L681" s="451"/>
      <c r="M681" s="451"/>
      <c r="N681" s="451"/>
    </row>
    <row r="682" spans="1:14" s="187" customFormat="1" ht="15" customHeight="1">
      <c r="A682" s="437"/>
      <c r="B682" s="443"/>
      <c r="C682" s="443"/>
      <c r="D682" s="468"/>
      <c r="E682" s="237"/>
      <c r="F682" s="237"/>
      <c r="G682" s="237"/>
      <c r="H682" s="237"/>
      <c r="I682" s="450"/>
      <c r="J682" s="451"/>
      <c r="K682" s="451"/>
      <c r="L682" s="451"/>
      <c r="M682" s="451"/>
      <c r="N682" s="451"/>
    </row>
    <row r="683" spans="1:14" s="187" customFormat="1" ht="15" customHeight="1">
      <c r="A683" s="437"/>
      <c r="B683" s="443"/>
      <c r="C683" s="443"/>
      <c r="D683" s="464"/>
      <c r="E683" s="237"/>
      <c r="F683" s="237"/>
      <c r="G683" s="237"/>
      <c r="H683" s="237"/>
      <c r="I683" s="450"/>
      <c r="J683" s="451"/>
      <c r="K683" s="451"/>
      <c r="L683" s="451"/>
      <c r="M683" s="451"/>
      <c r="N683" s="451"/>
    </row>
    <row r="684" spans="1:14" s="187" customFormat="1" ht="15" customHeight="1">
      <c r="A684" s="437"/>
      <c r="B684" s="437"/>
      <c r="C684" s="443"/>
      <c r="D684" s="464"/>
      <c r="E684" s="237"/>
      <c r="F684" s="237"/>
      <c r="G684" s="237"/>
      <c r="H684" s="237"/>
      <c r="I684" s="450"/>
      <c r="J684" s="451"/>
      <c r="K684" s="451"/>
      <c r="L684" s="451"/>
      <c r="M684" s="451"/>
      <c r="N684" s="451"/>
    </row>
    <row r="685" spans="1:14" s="187" customFormat="1" ht="15" customHeight="1">
      <c r="A685" s="446"/>
      <c r="B685" s="446"/>
      <c r="C685" s="446"/>
      <c r="D685" s="463"/>
      <c r="E685" s="237"/>
      <c r="F685" s="237"/>
      <c r="G685" s="237"/>
      <c r="H685" s="237"/>
      <c r="I685" s="450"/>
      <c r="J685" s="451"/>
      <c r="K685" s="451"/>
      <c r="L685" s="451"/>
      <c r="M685" s="451"/>
      <c r="N685" s="451"/>
    </row>
    <row r="686" spans="1:14" s="187" customFormat="1" ht="15" customHeight="1">
      <c r="A686" s="216"/>
      <c r="B686" s="216"/>
      <c r="C686" s="216"/>
      <c r="D686" s="216"/>
      <c r="E686" s="237"/>
      <c r="F686" s="237"/>
      <c r="G686" s="237"/>
      <c r="H686" s="237"/>
      <c r="I686" s="450"/>
      <c r="J686" s="451"/>
      <c r="K686" s="451"/>
      <c r="L686" s="451"/>
      <c r="M686" s="451"/>
      <c r="N686" s="451"/>
    </row>
    <row r="687" spans="1:14" s="414" customFormat="1">
      <c r="A687" s="465"/>
      <c r="B687" s="237"/>
      <c r="C687" s="237"/>
      <c r="D687" s="237"/>
      <c r="E687" s="466"/>
      <c r="F687" s="466"/>
      <c r="G687" s="237"/>
      <c r="H687" s="237"/>
      <c r="I687" s="318"/>
      <c r="J687" s="318"/>
      <c r="K687" s="318"/>
      <c r="L687" s="318"/>
      <c r="M687" s="318"/>
      <c r="N687" s="318"/>
    </row>
    <row r="688" spans="1:14" s="414" customFormat="1">
      <c r="A688" s="237"/>
      <c r="B688" s="237"/>
      <c r="C688" s="237"/>
      <c r="D688" s="237"/>
      <c r="E688" s="237"/>
      <c r="F688" s="237"/>
      <c r="G688" s="237"/>
      <c r="H688" s="237"/>
      <c r="I688" s="318"/>
      <c r="J688" s="318"/>
      <c r="K688" s="318"/>
      <c r="L688" s="318"/>
      <c r="M688" s="318"/>
      <c r="N688" s="318"/>
    </row>
    <row r="689" spans="1:14" s="414" customFormat="1">
      <c r="A689" s="437"/>
      <c r="B689" s="437"/>
      <c r="C689" s="437"/>
      <c r="D689" s="437"/>
      <c r="E689" s="469"/>
      <c r="F689" s="237"/>
      <c r="G689" s="237"/>
      <c r="H689" s="237"/>
      <c r="I689" s="318"/>
      <c r="J689" s="318"/>
      <c r="K689" s="318"/>
      <c r="L689" s="318"/>
      <c r="M689" s="318"/>
      <c r="N689" s="318"/>
    </row>
    <row r="690" spans="1:14" s="414" customFormat="1" ht="27" customHeight="1">
      <c r="A690" s="470"/>
      <c r="B690" s="470"/>
      <c r="C690" s="470"/>
      <c r="D690" s="470"/>
      <c r="E690" s="471"/>
      <c r="F690" s="213"/>
      <c r="G690" s="213"/>
      <c r="H690" s="213"/>
      <c r="I690" s="318"/>
      <c r="J690" s="318"/>
      <c r="K690" s="318"/>
      <c r="L690" s="318"/>
      <c r="M690" s="318"/>
      <c r="N690" s="318"/>
    </row>
    <row r="691" spans="1:14" s="414" customFormat="1">
      <c r="A691" s="437"/>
      <c r="B691" s="437"/>
      <c r="C691" s="437"/>
      <c r="D691" s="437"/>
      <c r="E691" s="462"/>
      <c r="F691" s="237"/>
      <c r="G691" s="237"/>
      <c r="H691" s="237"/>
      <c r="I691" s="318"/>
      <c r="J691" s="318"/>
      <c r="K691" s="318"/>
      <c r="L691" s="318"/>
      <c r="M691" s="318"/>
      <c r="N691" s="318"/>
    </row>
    <row r="692" spans="1:14">
      <c r="A692" s="446"/>
      <c r="B692" s="446"/>
      <c r="C692" s="446"/>
      <c r="D692" s="446"/>
      <c r="E692" s="472"/>
      <c r="F692" s="237"/>
      <c r="G692" s="473"/>
      <c r="H692" s="237"/>
      <c r="I692" s="22"/>
      <c r="J692" s="22"/>
      <c r="K692" s="22"/>
      <c r="L692" s="22"/>
      <c r="M692" s="22"/>
      <c r="N692" s="22"/>
    </row>
    <row r="693" spans="1:14" ht="27" customHeight="1">
      <c r="A693" s="213"/>
      <c r="B693" s="213"/>
      <c r="C693" s="213"/>
      <c r="D693" s="213"/>
      <c r="E693" s="213"/>
      <c r="F693" s="213"/>
      <c r="G693" s="213"/>
      <c r="H693" s="213"/>
      <c r="I693" s="22"/>
      <c r="J693" s="22"/>
      <c r="K693" s="22"/>
      <c r="L693" s="22"/>
      <c r="M693" s="22"/>
      <c r="N693" s="22"/>
    </row>
    <row r="694" spans="1:14">
      <c r="A694" s="474"/>
      <c r="B694" s="474"/>
      <c r="C694" s="474"/>
      <c r="D694" s="474"/>
      <c r="E694" s="475"/>
      <c r="F694" s="237"/>
      <c r="G694" s="237"/>
      <c r="H694" s="237"/>
      <c r="I694" s="22"/>
      <c r="J694" s="22"/>
      <c r="K694" s="22"/>
      <c r="L694" s="22"/>
      <c r="M694" s="22"/>
      <c r="N694" s="22"/>
    </row>
    <row r="695" spans="1:14">
      <c r="A695" s="465"/>
      <c r="B695" s="237"/>
      <c r="C695" s="237"/>
      <c r="D695" s="237"/>
      <c r="E695" s="466"/>
      <c r="F695" s="466"/>
      <c r="G695" s="237"/>
      <c r="H695" s="237"/>
      <c r="I695" s="22"/>
      <c r="J695" s="22"/>
      <c r="K695" s="22"/>
      <c r="L695" s="22"/>
      <c r="M695" s="22"/>
      <c r="N695" s="22"/>
    </row>
    <row r="696" spans="1:14">
      <c r="A696" s="237"/>
      <c r="B696" s="237"/>
      <c r="C696" s="237"/>
      <c r="D696" s="237"/>
      <c r="E696" s="237"/>
      <c r="F696" s="237"/>
      <c r="G696" s="237"/>
      <c r="H696" s="237"/>
      <c r="I696" s="22"/>
      <c r="J696" s="22"/>
      <c r="K696" s="22"/>
      <c r="L696" s="22"/>
      <c r="M696" s="22"/>
      <c r="N696" s="22"/>
    </row>
    <row r="697" spans="1:14">
      <c r="A697" s="237"/>
      <c r="B697" s="237"/>
      <c r="C697" s="237"/>
      <c r="D697" s="237"/>
      <c r="E697" s="237"/>
      <c r="F697" s="237"/>
      <c r="G697" s="237"/>
      <c r="H697" s="237"/>
      <c r="I697" s="22"/>
      <c r="J697" s="22"/>
      <c r="K697" s="22"/>
      <c r="L697" s="22"/>
      <c r="M697" s="22"/>
      <c r="N697" s="22"/>
    </row>
    <row r="698" spans="1:14">
      <c r="A698" s="237"/>
      <c r="B698" s="237"/>
      <c r="C698" s="237"/>
      <c r="D698" s="237"/>
      <c r="E698" s="237"/>
      <c r="F698" s="237"/>
      <c r="G698" s="237"/>
      <c r="H698" s="237"/>
      <c r="I698" s="22"/>
      <c r="J698" s="22"/>
      <c r="K698" s="22"/>
      <c r="L698" s="22"/>
      <c r="M698" s="22"/>
      <c r="N698" s="22"/>
    </row>
    <row r="699" spans="1:14">
      <c r="A699" s="216"/>
      <c r="B699" s="237"/>
      <c r="C699" s="476"/>
      <c r="D699" s="477"/>
      <c r="E699" s="476"/>
      <c r="F699" s="216"/>
      <c r="G699" s="237"/>
      <c r="H699" s="237"/>
      <c r="I699" s="22"/>
      <c r="J699" s="22"/>
      <c r="K699" s="22"/>
      <c r="L699" s="22"/>
      <c r="M699" s="22"/>
      <c r="N699" s="22"/>
    </row>
    <row r="700" spans="1:14">
      <c r="A700" s="437"/>
      <c r="B700" s="437"/>
      <c r="C700" s="452"/>
      <c r="D700" s="478"/>
      <c r="E700" s="478"/>
      <c r="F700" s="216"/>
      <c r="G700" s="237"/>
      <c r="H700" s="237"/>
      <c r="I700" s="22"/>
      <c r="J700" s="22"/>
      <c r="K700" s="22"/>
      <c r="L700" s="22"/>
      <c r="M700" s="22"/>
      <c r="N700" s="22"/>
    </row>
    <row r="701" spans="1:14">
      <c r="A701" s="437"/>
      <c r="B701" s="437"/>
      <c r="C701" s="452"/>
      <c r="D701" s="478"/>
      <c r="E701" s="478"/>
      <c r="F701" s="216"/>
      <c r="G701" s="237"/>
      <c r="H701" s="237"/>
      <c r="I701" s="22"/>
      <c r="J701" s="22"/>
      <c r="K701" s="22"/>
      <c r="L701" s="22"/>
      <c r="M701" s="22"/>
      <c r="N701" s="22"/>
    </row>
    <row r="702" spans="1:14">
      <c r="A702" s="237"/>
      <c r="B702" s="237"/>
      <c r="C702" s="237"/>
      <c r="D702" s="237"/>
      <c r="E702" s="237"/>
      <c r="F702" s="237"/>
      <c r="G702" s="237"/>
      <c r="H702" s="237"/>
      <c r="I702" s="22"/>
      <c r="J702" s="22"/>
      <c r="K702" s="22"/>
      <c r="L702" s="22"/>
      <c r="M702" s="22"/>
      <c r="N702" s="22"/>
    </row>
    <row r="703" spans="1:14">
      <c r="A703" s="479"/>
      <c r="B703" s="480"/>
      <c r="C703" s="480"/>
      <c r="D703" s="481"/>
      <c r="E703" s="466"/>
      <c r="F703" s="237"/>
      <c r="G703" s="237"/>
      <c r="H703" s="237"/>
      <c r="I703" s="22"/>
      <c r="J703" s="22"/>
      <c r="K703" s="22"/>
      <c r="L703" s="22"/>
      <c r="M703" s="22"/>
      <c r="N703" s="22"/>
    </row>
    <row r="704" spans="1:14">
      <c r="A704" s="237"/>
      <c r="B704" s="237"/>
      <c r="C704" s="237"/>
      <c r="D704" s="237"/>
      <c r="E704" s="237"/>
      <c r="F704" s="237"/>
      <c r="G704" s="237"/>
      <c r="H704" s="237"/>
      <c r="I704" s="22"/>
      <c r="J704" s="22"/>
      <c r="K704" s="22"/>
      <c r="L704" s="22"/>
      <c r="M704" s="22"/>
      <c r="N704" s="22"/>
    </row>
    <row r="705" spans="1:14">
      <c r="A705" s="465"/>
      <c r="B705" s="237"/>
      <c r="C705" s="237"/>
      <c r="D705" s="237"/>
      <c r="E705" s="466"/>
      <c r="F705" s="466"/>
      <c r="G705" s="237"/>
      <c r="H705" s="237"/>
      <c r="I705" s="22"/>
      <c r="J705" s="22"/>
      <c r="K705" s="22"/>
      <c r="L705" s="22"/>
      <c r="M705" s="22"/>
      <c r="N705" s="22"/>
    </row>
    <row r="706" spans="1:14">
      <c r="A706" s="237"/>
      <c r="B706" s="237"/>
      <c r="C706" s="237"/>
      <c r="D706" s="237"/>
      <c r="E706" s="237"/>
      <c r="F706" s="237"/>
      <c r="G706" s="237"/>
      <c r="H706" s="237"/>
      <c r="I706" s="22"/>
      <c r="J706" s="22"/>
      <c r="K706" s="22"/>
      <c r="L706" s="22"/>
      <c r="M706" s="22"/>
      <c r="N706" s="22"/>
    </row>
    <row r="707" spans="1:14" ht="15" customHeight="1">
      <c r="A707" s="465"/>
      <c r="B707" s="237"/>
      <c r="C707" s="237"/>
      <c r="D707" s="237"/>
      <c r="E707" s="237"/>
      <c r="F707" s="237"/>
      <c r="G707" s="237"/>
      <c r="H707" s="237"/>
      <c r="I707" s="22"/>
      <c r="J707" s="22"/>
      <c r="K707" s="22"/>
      <c r="L707" s="22"/>
      <c r="M707" s="22"/>
      <c r="N707" s="22"/>
    </row>
    <row r="708" spans="1:14">
      <c r="A708" s="437"/>
      <c r="B708" s="437"/>
      <c r="C708" s="437"/>
      <c r="D708" s="437"/>
      <c r="E708" s="237"/>
      <c r="F708" s="237"/>
      <c r="G708" s="237"/>
      <c r="H708" s="237"/>
      <c r="I708" s="22"/>
      <c r="J708" s="22"/>
      <c r="K708" s="22"/>
      <c r="L708" s="22"/>
      <c r="M708" s="22"/>
      <c r="N708" s="22"/>
    </row>
    <row r="709" spans="1:14">
      <c r="A709" s="437"/>
      <c r="B709" s="437"/>
      <c r="C709" s="437"/>
      <c r="D709" s="437"/>
      <c r="E709" s="459"/>
      <c r="F709" s="237"/>
      <c r="G709" s="237"/>
      <c r="H709" s="237"/>
      <c r="I709" s="22"/>
      <c r="J709" s="22"/>
      <c r="K709" s="22"/>
      <c r="L709" s="22"/>
      <c r="M709" s="22"/>
      <c r="N709" s="22"/>
    </row>
    <row r="710" spans="1:14">
      <c r="A710" s="437"/>
      <c r="B710" s="437"/>
      <c r="C710" s="437"/>
      <c r="D710" s="437"/>
      <c r="E710" s="482"/>
      <c r="F710" s="237"/>
      <c r="G710" s="237"/>
      <c r="H710" s="237"/>
      <c r="I710" s="22"/>
      <c r="J710" s="22"/>
      <c r="K710" s="22"/>
      <c r="L710" s="22"/>
      <c r="M710" s="22"/>
      <c r="N710" s="22"/>
    </row>
    <row r="711" spans="1:14">
      <c r="A711" s="437"/>
      <c r="B711" s="437"/>
      <c r="C711" s="437"/>
      <c r="D711" s="437"/>
      <c r="E711" s="483"/>
      <c r="F711" s="237"/>
      <c r="G711" s="237"/>
      <c r="H711" s="237"/>
      <c r="I711" s="22"/>
      <c r="J711" s="22"/>
      <c r="K711" s="22"/>
      <c r="L711" s="22"/>
      <c r="M711" s="22"/>
      <c r="N711" s="22"/>
    </row>
    <row r="712" spans="1:14">
      <c r="A712" s="446"/>
      <c r="B712" s="446"/>
      <c r="C712" s="446"/>
      <c r="D712" s="446"/>
      <c r="E712" s="466"/>
      <c r="F712" s="237"/>
      <c r="G712" s="237"/>
      <c r="H712" s="237"/>
      <c r="I712" s="22"/>
      <c r="J712" s="22"/>
      <c r="K712" s="22"/>
      <c r="L712" s="22"/>
      <c r="M712" s="22"/>
      <c r="N712" s="22"/>
    </row>
    <row r="713" spans="1:14">
      <c r="A713" s="237"/>
      <c r="B713" s="237"/>
      <c r="C713" s="237"/>
      <c r="D713" s="237"/>
      <c r="E713" s="237"/>
      <c r="F713" s="237"/>
      <c r="G713" s="237"/>
      <c r="H713" s="237"/>
      <c r="I713" s="22"/>
      <c r="J713" s="22"/>
      <c r="K713" s="22"/>
      <c r="L713" s="22"/>
      <c r="M713" s="22"/>
      <c r="N713" s="22"/>
    </row>
    <row r="714" spans="1:14">
      <c r="A714" s="465"/>
      <c r="B714" s="237"/>
      <c r="C714" s="237"/>
      <c r="D714" s="237"/>
      <c r="E714" s="237"/>
      <c r="F714" s="237"/>
      <c r="G714" s="237"/>
      <c r="H714" s="237"/>
      <c r="I714" s="22"/>
      <c r="J714" s="22"/>
      <c r="K714" s="22"/>
      <c r="L714" s="22"/>
      <c r="M714" s="22"/>
      <c r="N714" s="22"/>
    </row>
    <row r="715" spans="1:14">
      <c r="A715" s="437"/>
      <c r="B715" s="437"/>
      <c r="C715" s="437"/>
      <c r="D715" s="437"/>
      <c r="E715" s="237"/>
      <c r="F715" s="237"/>
      <c r="G715" s="237"/>
      <c r="H715" s="237"/>
      <c r="I715" s="22"/>
      <c r="J715" s="22"/>
      <c r="K715" s="22"/>
      <c r="L715" s="22"/>
      <c r="M715" s="22"/>
      <c r="N715" s="22"/>
    </row>
    <row r="716" spans="1:14">
      <c r="A716" s="437"/>
      <c r="B716" s="437"/>
      <c r="C716" s="437"/>
      <c r="D716" s="437"/>
      <c r="E716" s="459"/>
      <c r="F716" s="237"/>
      <c r="G716" s="237"/>
      <c r="H716" s="237"/>
      <c r="I716" s="22"/>
      <c r="J716" s="22"/>
      <c r="K716" s="22"/>
      <c r="L716" s="22"/>
      <c r="M716" s="22"/>
      <c r="N716" s="22"/>
    </row>
    <row r="717" spans="1:14">
      <c r="A717" s="437"/>
      <c r="B717" s="437"/>
      <c r="C717" s="437"/>
      <c r="D717" s="437"/>
      <c r="E717" s="464"/>
      <c r="F717" s="237"/>
      <c r="G717" s="237"/>
      <c r="H717" s="237"/>
      <c r="I717" s="22"/>
      <c r="J717" s="22"/>
      <c r="K717" s="22"/>
      <c r="L717" s="22"/>
      <c r="M717" s="22"/>
      <c r="N717" s="22"/>
    </row>
    <row r="718" spans="1:14">
      <c r="A718" s="437"/>
      <c r="B718" s="437"/>
      <c r="C718" s="437"/>
      <c r="D718" s="437"/>
      <c r="E718" s="484"/>
      <c r="F718" s="237"/>
      <c r="G718" s="237"/>
      <c r="H718" s="237"/>
      <c r="I718" s="22"/>
      <c r="J718" s="22"/>
      <c r="K718" s="22"/>
      <c r="L718" s="22"/>
      <c r="M718" s="22"/>
      <c r="N718" s="22"/>
    </row>
    <row r="719" spans="1:14">
      <c r="A719" s="446"/>
      <c r="B719" s="446"/>
      <c r="C719" s="446"/>
      <c r="D719" s="446"/>
      <c r="E719" s="466"/>
      <c r="F719" s="237"/>
      <c r="G719" s="237"/>
      <c r="H719" s="237"/>
      <c r="I719" s="22"/>
      <c r="J719" s="22"/>
      <c r="K719" s="22"/>
      <c r="L719" s="22"/>
      <c r="M719" s="22"/>
      <c r="N719" s="22"/>
    </row>
    <row r="720" spans="1:14">
      <c r="A720" s="237"/>
      <c r="B720" s="237"/>
      <c r="C720" s="237"/>
      <c r="D720" s="237"/>
      <c r="E720" s="237"/>
      <c r="F720" s="237"/>
      <c r="G720" s="237"/>
      <c r="H720" s="237"/>
      <c r="I720" s="22"/>
      <c r="J720" s="22"/>
      <c r="K720" s="22"/>
      <c r="L720" s="22"/>
      <c r="M720" s="22"/>
      <c r="N720" s="22"/>
    </row>
    <row r="721" spans="1:14">
      <c r="A721" s="465"/>
      <c r="B721" s="237"/>
      <c r="C721" s="237"/>
      <c r="D721" s="237"/>
      <c r="E721" s="237"/>
      <c r="F721" s="237"/>
      <c r="G721" s="237"/>
      <c r="H721" s="237"/>
      <c r="I721" s="22"/>
      <c r="J721" s="22"/>
      <c r="K721" s="22"/>
      <c r="L721" s="22"/>
      <c r="M721" s="22"/>
      <c r="N721" s="22"/>
    </row>
    <row r="722" spans="1:14">
      <c r="A722" s="437"/>
      <c r="B722" s="437"/>
      <c r="C722" s="437"/>
      <c r="D722" s="437"/>
      <c r="E722" s="237"/>
      <c r="F722" s="237"/>
      <c r="G722" s="237"/>
      <c r="H722" s="237"/>
      <c r="I722" s="22"/>
      <c r="J722" s="22"/>
      <c r="K722" s="22"/>
      <c r="L722" s="22"/>
      <c r="M722" s="22"/>
      <c r="N722" s="22"/>
    </row>
    <row r="723" spans="1:14">
      <c r="A723" s="437"/>
      <c r="B723" s="437"/>
      <c r="C723" s="437"/>
      <c r="D723" s="437"/>
      <c r="E723" s="459"/>
      <c r="F723" s="237"/>
      <c r="G723" s="237"/>
      <c r="H723" s="237"/>
      <c r="I723" s="22"/>
      <c r="J723" s="22"/>
      <c r="K723" s="22"/>
      <c r="L723" s="22"/>
      <c r="M723" s="22"/>
      <c r="N723" s="22"/>
    </row>
    <row r="724" spans="1:14">
      <c r="A724" s="437"/>
      <c r="B724" s="437"/>
      <c r="C724" s="437"/>
      <c r="D724" s="437"/>
      <c r="E724" s="482"/>
      <c r="F724" s="438"/>
      <c r="G724" s="237"/>
      <c r="H724" s="237"/>
      <c r="I724" s="22"/>
      <c r="J724" s="22"/>
      <c r="K724" s="22"/>
      <c r="L724" s="22"/>
      <c r="M724" s="22"/>
      <c r="N724" s="22"/>
    </row>
    <row r="725" spans="1:14">
      <c r="A725" s="446"/>
      <c r="B725" s="446"/>
      <c r="C725" s="446"/>
      <c r="D725" s="446"/>
      <c r="E725" s="466"/>
      <c r="F725" s="237"/>
      <c r="G725" s="237"/>
      <c r="H725" s="237"/>
      <c r="I725" s="22"/>
      <c r="J725" s="22"/>
      <c r="K725" s="22"/>
      <c r="L725" s="22"/>
      <c r="M725" s="22"/>
      <c r="N725" s="22"/>
    </row>
    <row r="726" spans="1:14">
      <c r="A726" s="237"/>
      <c r="B726" s="237"/>
      <c r="C726" s="237"/>
      <c r="D726" s="237"/>
      <c r="E726" s="237"/>
      <c r="F726" s="237"/>
      <c r="G726" s="237"/>
      <c r="H726" s="237"/>
      <c r="I726" s="22"/>
      <c r="J726" s="22"/>
      <c r="K726" s="22"/>
      <c r="L726" s="22"/>
      <c r="M726" s="22"/>
      <c r="N726" s="22"/>
    </row>
    <row r="727" spans="1:14">
      <c r="A727" s="465"/>
      <c r="B727" s="237"/>
      <c r="C727" s="237"/>
      <c r="D727" s="237"/>
      <c r="E727" s="237"/>
      <c r="F727" s="237"/>
      <c r="G727" s="237"/>
      <c r="H727" s="237"/>
      <c r="I727" s="22"/>
      <c r="J727" s="22"/>
      <c r="K727" s="22"/>
      <c r="L727" s="22"/>
      <c r="M727" s="22"/>
      <c r="N727" s="22"/>
    </row>
    <row r="728" spans="1:14">
      <c r="A728" s="437"/>
      <c r="B728" s="437"/>
      <c r="C728" s="437"/>
      <c r="D728" s="437"/>
      <c r="E728" s="459"/>
      <c r="F728" s="237"/>
      <c r="G728" s="237"/>
      <c r="H728" s="237"/>
      <c r="I728" s="22"/>
      <c r="J728" s="22"/>
      <c r="K728" s="22"/>
      <c r="L728" s="22"/>
      <c r="M728" s="22"/>
      <c r="N728" s="22"/>
    </row>
    <row r="729" spans="1:14">
      <c r="A729" s="437"/>
      <c r="B729" s="437"/>
      <c r="C729" s="437"/>
      <c r="D729" s="437"/>
      <c r="E729" s="464"/>
      <c r="F729" s="237"/>
      <c r="G729" s="237"/>
      <c r="H729" s="237"/>
      <c r="I729" s="22"/>
      <c r="J729" s="22"/>
      <c r="K729" s="22"/>
      <c r="L729" s="22"/>
      <c r="M729" s="22"/>
      <c r="N729" s="22"/>
    </row>
    <row r="730" spans="1:14">
      <c r="A730" s="437"/>
      <c r="B730" s="437"/>
      <c r="C730" s="437"/>
      <c r="D730" s="437"/>
      <c r="E730" s="485"/>
      <c r="F730" s="237"/>
      <c r="G730" s="237"/>
      <c r="H730" s="237"/>
      <c r="I730" s="22"/>
      <c r="J730" s="22"/>
      <c r="K730" s="22"/>
      <c r="L730" s="22"/>
      <c r="M730" s="22"/>
      <c r="N730" s="22"/>
    </row>
    <row r="731" spans="1:14">
      <c r="A731" s="446"/>
      <c r="B731" s="446"/>
      <c r="C731" s="446"/>
      <c r="D731" s="446"/>
      <c r="E731" s="486"/>
      <c r="F731" s="237"/>
      <c r="G731" s="237"/>
      <c r="H731" s="237"/>
      <c r="I731" s="22"/>
      <c r="J731" s="22"/>
      <c r="K731" s="22"/>
      <c r="L731" s="22"/>
      <c r="M731" s="22"/>
      <c r="N731" s="22"/>
    </row>
    <row r="732" spans="1:14">
      <c r="A732" s="237"/>
      <c r="B732" s="237"/>
      <c r="C732" s="237"/>
      <c r="D732" s="237"/>
      <c r="E732" s="237"/>
      <c r="F732" s="237"/>
      <c r="G732" s="237"/>
      <c r="H732" s="237"/>
      <c r="I732" s="22"/>
      <c r="J732" s="22"/>
      <c r="K732" s="22"/>
      <c r="L732" s="22"/>
      <c r="M732" s="22"/>
      <c r="N732" s="22"/>
    </row>
    <row r="733" spans="1:14">
      <c r="A733" s="465"/>
      <c r="B733" s="237"/>
      <c r="C733" s="237"/>
      <c r="D733" s="237"/>
      <c r="E733" s="237"/>
      <c r="F733" s="237"/>
      <c r="G733" s="237"/>
      <c r="H733" s="237"/>
      <c r="I733" s="22"/>
      <c r="J733" s="22"/>
      <c r="K733" s="22"/>
      <c r="L733" s="22"/>
      <c r="M733" s="22"/>
      <c r="N733" s="22"/>
    </row>
    <row r="734" spans="1:14">
      <c r="A734" s="437"/>
      <c r="B734" s="437"/>
      <c r="C734" s="437"/>
      <c r="D734" s="437"/>
      <c r="E734" s="469"/>
      <c r="F734" s="237"/>
      <c r="G734" s="237"/>
      <c r="H734" s="237"/>
      <c r="I734" s="22"/>
      <c r="J734" s="22"/>
      <c r="K734" s="22"/>
      <c r="L734" s="22"/>
      <c r="M734" s="22"/>
      <c r="N734" s="22"/>
    </row>
    <row r="735" spans="1:14">
      <c r="A735" s="437"/>
      <c r="B735" s="437"/>
      <c r="C735" s="437"/>
      <c r="D735" s="437"/>
      <c r="E735" s="487"/>
      <c r="F735" s="237"/>
      <c r="G735" s="237"/>
      <c r="H735" s="237"/>
      <c r="I735" s="22"/>
      <c r="J735" s="22"/>
      <c r="K735" s="22"/>
      <c r="L735" s="22"/>
      <c r="M735" s="22"/>
      <c r="N735" s="22"/>
    </row>
    <row r="736" spans="1:14">
      <c r="A736" s="446"/>
      <c r="B736" s="446"/>
      <c r="C736" s="446"/>
      <c r="D736" s="446"/>
      <c r="E736" s="472"/>
      <c r="F736" s="237"/>
      <c r="G736" s="237"/>
      <c r="H736" s="237"/>
      <c r="I736" s="22"/>
      <c r="J736" s="22"/>
      <c r="K736" s="22"/>
      <c r="L736" s="22"/>
      <c r="M736" s="22"/>
      <c r="N736" s="22"/>
    </row>
    <row r="737" spans="1:14">
      <c r="A737" s="237"/>
      <c r="B737" s="237"/>
      <c r="C737" s="237"/>
      <c r="D737" s="237"/>
      <c r="E737" s="237"/>
      <c r="F737" s="237"/>
      <c r="G737" s="237"/>
      <c r="H737" s="237"/>
      <c r="I737" s="22"/>
      <c r="J737" s="22"/>
      <c r="K737" s="22"/>
      <c r="L737" s="22"/>
      <c r="M737" s="22"/>
      <c r="N737" s="22"/>
    </row>
    <row r="738" spans="1:14">
      <c r="A738" s="237"/>
      <c r="B738" s="237"/>
      <c r="C738" s="237"/>
      <c r="D738" s="237"/>
      <c r="E738" s="237"/>
      <c r="F738" s="237"/>
      <c r="G738" s="237"/>
      <c r="H738" s="237"/>
      <c r="I738" s="22"/>
      <c r="J738" s="22"/>
      <c r="K738" s="22"/>
      <c r="L738" s="22"/>
      <c r="M738" s="22"/>
      <c r="N738" s="22"/>
    </row>
    <row r="739" spans="1:14">
      <c r="A739" s="465"/>
      <c r="B739" s="237"/>
      <c r="C739" s="237"/>
      <c r="D739" s="237"/>
      <c r="E739" s="488"/>
      <c r="F739" s="446"/>
      <c r="G739" s="237"/>
      <c r="H739" s="237"/>
      <c r="I739" s="22"/>
      <c r="J739" s="22"/>
      <c r="K739" s="22"/>
      <c r="L739" s="22"/>
      <c r="M739" s="22"/>
      <c r="N739" s="22"/>
    </row>
    <row r="740" spans="1:14">
      <c r="A740" s="237"/>
      <c r="B740" s="237"/>
      <c r="C740" s="237"/>
      <c r="D740" s="237"/>
      <c r="E740" s="237"/>
      <c r="F740" s="237"/>
      <c r="G740" s="237"/>
      <c r="H740" s="237"/>
      <c r="I740" s="22"/>
      <c r="J740" s="22"/>
      <c r="K740" s="22"/>
      <c r="L740" s="22"/>
      <c r="M740" s="22"/>
      <c r="N740" s="22"/>
    </row>
    <row r="741" spans="1:14">
      <c r="A741" s="437"/>
      <c r="B741" s="437"/>
      <c r="C741" s="437"/>
      <c r="D741" s="437"/>
      <c r="E741" s="459"/>
      <c r="F741" s="237"/>
      <c r="G741" s="237"/>
      <c r="H741" s="237"/>
      <c r="I741" s="22"/>
      <c r="J741" s="22"/>
      <c r="K741" s="22"/>
      <c r="L741" s="22"/>
      <c r="M741" s="22"/>
      <c r="N741" s="22"/>
    </row>
    <row r="742" spans="1:14">
      <c r="A742" s="437"/>
      <c r="B742" s="437"/>
      <c r="C742" s="437"/>
      <c r="D742" s="437"/>
      <c r="E742" s="459"/>
      <c r="F742" s="237"/>
      <c r="G742" s="237"/>
      <c r="H742" s="237"/>
      <c r="I742" s="22"/>
      <c r="J742" s="22"/>
      <c r="K742" s="22"/>
      <c r="L742" s="22"/>
      <c r="M742" s="22"/>
      <c r="N742" s="22"/>
    </row>
    <row r="743" spans="1:14">
      <c r="A743" s="437"/>
      <c r="B743" s="437"/>
      <c r="C743" s="437"/>
      <c r="D743" s="437"/>
      <c r="E743" s="459"/>
      <c r="F743" s="237"/>
      <c r="G743" s="237"/>
      <c r="H743" s="237"/>
      <c r="I743" s="22"/>
      <c r="J743" s="22"/>
      <c r="K743" s="22"/>
      <c r="L743" s="22"/>
      <c r="M743" s="22"/>
      <c r="N743" s="22"/>
    </row>
    <row r="744" spans="1:14">
      <c r="A744" s="437"/>
      <c r="B744" s="437"/>
      <c r="C744" s="437"/>
      <c r="D744" s="437"/>
      <c r="E744" s="459"/>
      <c r="F744" s="237"/>
      <c r="G744" s="237"/>
      <c r="H744" s="237"/>
      <c r="I744" s="22"/>
      <c r="J744" s="22"/>
      <c r="K744" s="22"/>
      <c r="L744" s="22"/>
      <c r="M744" s="22"/>
      <c r="N744" s="22"/>
    </row>
    <row r="745" spans="1:14" ht="15" customHeight="1">
      <c r="A745" s="437"/>
      <c r="B745" s="437"/>
      <c r="C745" s="437"/>
      <c r="D745" s="437"/>
      <c r="E745" s="459"/>
      <c r="F745" s="237"/>
      <c r="G745" s="237"/>
      <c r="H745" s="237"/>
      <c r="I745" s="22"/>
      <c r="J745" s="22"/>
      <c r="K745" s="22"/>
      <c r="L745" s="22"/>
      <c r="M745" s="22"/>
      <c r="N745" s="22"/>
    </row>
    <row r="746" spans="1:14" ht="15" customHeight="1">
      <c r="A746" s="446"/>
      <c r="B746" s="446"/>
      <c r="C746" s="446"/>
      <c r="D746" s="446"/>
      <c r="E746" s="466"/>
      <c r="F746" s="237"/>
      <c r="G746" s="237"/>
      <c r="H746" s="237"/>
      <c r="I746" s="22"/>
      <c r="J746" s="22"/>
      <c r="K746" s="22"/>
      <c r="L746" s="22"/>
      <c r="M746" s="22"/>
      <c r="N746" s="22"/>
    </row>
    <row r="747" spans="1:14" ht="15" customHeight="1">
      <c r="A747" s="474"/>
      <c r="B747" s="474"/>
      <c r="C747" s="474"/>
      <c r="D747" s="474"/>
      <c r="E747" s="466"/>
      <c r="F747" s="237"/>
      <c r="G747" s="237"/>
      <c r="H747" s="237"/>
      <c r="I747" s="22"/>
      <c r="J747" s="22"/>
      <c r="K747" s="22"/>
      <c r="L747" s="22"/>
      <c r="M747" s="22"/>
      <c r="N747" s="22"/>
    </row>
    <row r="748" spans="1:14" ht="15" customHeight="1">
      <c r="A748" s="237"/>
      <c r="B748" s="237"/>
      <c r="C748" s="237"/>
      <c r="D748" s="237"/>
      <c r="E748" s="237"/>
      <c r="F748" s="237"/>
      <c r="G748" s="237"/>
      <c r="H748" s="237"/>
      <c r="I748" s="22"/>
      <c r="J748" s="22"/>
      <c r="K748" s="22"/>
      <c r="L748" s="22"/>
      <c r="M748" s="22"/>
      <c r="N748" s="22"/>
    </row>
    <row r="749" spans="1:14">
      <c r="A749" s="465"/>
      <c r="B749" s="237"/>
      <c r="C749" s="237"/>
      <c r="D749" s="237"/>
      <c r="E749" s="466"/>
      <c r="F749" s="466"/>
      <c r="G749" s="237"/>
      <c r="H749" s="237"/>
      <c r="I749" s="22"/>
      <c r="J749" s="22"/>
      <c r="K749" s="22"/>
      <c r="L749" s="22"/>
      <c r="M749" s="22"/>
      <c r="N749" s="22"/>
    </row>
    <row r="750" spans="1:14" ht="13.5" customHeight="1">
      <c r="A750" s="237"/>
      <c r="B750" s="237"/>
      <c r="C750" s="237"/>
      <c r="D750" s="237"/>
      <c r="E750" s="237"/>
      <c r="F750" s="237"/>
      <c r="G750" s="237"/>
      <c r="H750" s="237"/>
      <c r="I750" s="22"/>
      <c r="J750" s="22"/>
      <c r="K750" s="22"/>
      <c r="L750" s="22"/>
      <c r="M750" s="22"/>
      <c r="N750" s="22"/>
    </row>
    <row r="751" spans="1:14">
      <c r="A751" s="437"/>
      <c r="B751" s="437"/>
      <c r="C751" s="437"/>
      <c r="D751" s="437"/>
      <c r="E751" s="437"/>
      <c r="F751" s="489"/>
      <c r="G751" s="237"/>
      <c r="H751" s="237"/>
      <c r="I751" s="22"/>
      <c r="J751" s="22"/>
      <c r="K751" s="22"/>
      <c r="L751" s="22"/>
      <c r="M751" s="22"/>
      <c r="N751" s="22"/>
    </row>
    <row r="752" spans="1:14">
      <c r="A752" s="437"/>
      <c r="B752" s="437"/>
      <c r="C752" s="437"/>
      <c r="D752" s="437"/>
      <c r="E752" s="437"/>
      <c r="F752" s="489"/>
      <c r="G752" s="237"/>
      <c r="H752" s="490"/>
      <c r="I752" s="22"/>
      <c r="J752" s="22"/>
      <c r="K752" s="22"/>
      <c r="L752" s="22"/>
      <c r="M752" s="22"/>
      <c r="N752" s="22"/>
    </row>
    <row r="753" spans="1:14">
      <c r="A753" s="437"/>
      <c r="B753" s="437"/>
      <c r="C753" s="437"/>
      <c r="D753" s="437"/>
      <c r="E753" s="437"/>
      <c r="F753" s="462"/>
      <c r="G753" s="237"/>
      <c r="H753" s="237"/>
      <c r="I753" s="22"/>
      <c r="J753" s="22"/>
      <c r="K753" s="22"/>
      <c r="L753" s="22"/>
      <c r="M753" s="22"/>
      <c r="N753" s="22"/>
    </row>
    <row r="754" spans="1:14">
      <c r="A754" s="437"/>
      <c r="B754" s="437"/>
      <c r="C754" s="437"/>
      <c r="D754" s="437"/>
      <c r="E754" s="437"/>
      <c r="F754" s="471"/>
      <c r="G754" s="237"/>
      <c r="H754" s="237"/>
      <c r="I754" s="22"/>
      <c r="J754" s="22"/>
      <c r="K754" s="22"/>
      <c r="L754" s="22"/>
      <c r="M754" s="22"/>
      <c r="N754" s="22"/>
    </row>
    <row r="755" spans="1:14">
      <c r="A755" s="446"/>
      <c r="B755" s="446"/>
      <c r="C755" s="446"/>
      <c r="D755" s="446"/>
      <c r="E755" s="446"/>
      <c r="F755" s="466"/>
      <c r="G755" s="237"/>
      <c r="H755" s="237"/>
      <c r="I755" s="22"/>
      <c r="J755" s="22"/>
      <c r="K755" s="22"/>
      <c r="L755" s="22"/>
      <c r="M755" s="22"/>
      <c r="N755" s="22"/>
    </row>
    <row r="756" spans="1:14">
      <c r="A756" s="237"/>
      <c r="B756" s="237"/>
      <c r="C756" s="237"/>
      <c r="D756" s="237"/>
      <c r="E756" s="237"/>
      <c r="F756" s="237"/>
      <c r="G756" s="237"/>
      <c r="H756" s="237"/>
      <c r="I756" s="22"/>
      <c r="J756" s="22"/>
      <c r="K756" s="22"/>
      <c r="L756" s="22"/>
      <c r="M756" s="22"/>
      <c r="N756" s="22"/>
    </row>
    <row r="757" spans="1:14">
      <c r="A757" s="465"/>
      <c r="B757" s="237"/>
      <c r="C757" s="237"/>
      <c r="D757" s="237"/>
      <c r="E757" s="488"/>
      <c r="F757" s="446"/>
      <c r="G757" s="237"/>
      <c r="H757" s="237"/>
      <c r="I757" s="22"/>
      <c r="J757" s="22"/>
      <c r="K757" s="22"/>
      <c r="L757" s="22"/>
      <c r="M757" s="22"/>
      <c r="N757" s="22"/>
    </row>
    <row r="758" spans="1:14">
      <c r="A758" s="491"/>
      <c r="B758" s="237"/>
      <c r="C758" s="237"/>
      <c r="D758" s="237"/>
      <c r="E758" s="237"/>
      <c r="F758" s="237"/>
      <c r="G758" s="237"/>
      <c r="H758" s="237"/>
      <c r="I758" s="22"/>
      <c r="J758" s="22"/>
      <c r="K758" s="22"/>
      <c r="L758" s="22"/>
      <c r="M758" s="22"/>
      <c r="N758" s="22"/>
    </row>
    <row r="759" spans="1:14">
      <c r="A759" s="237"/>
      <c r="B759" s="237"/>
      <c r="C759" s="237"/>
      <c r="D759" s="237"/>
      <c r="E759" s="237"/>
      <c r="F759" s="237"/>
      <c r="G759" s="237"/>
      <c r="H759" s="237"/>
      <c r="I759" s="22"/>
      <c r="J759" s="22"/>
      <c r="K759" s="22"/>
      <c r="L759" s="22"/>
      <c r="M759" s="22"/>
      <c r="N759" s="22"/>
    </row>
    <row r="760" spans="1:14">
      <c r="A760" s="492"/>
      <c r="B760" s="237"/>
      <c r="C760" s="237"/>
      <c r="D760" s="237"/>
      <c r="E760" s="237"/>
      <c r="F760" s="237"/>
      <c r="G760" s="237"/>
      <c r="H760" s="237"/>
      <c r="I760" s="22"/>
      <c r="J760" s="22"/>
      <c r="K760" s="22"/>
      <c r="L760" s="22"/>
      <c r="M760" s="22"/>
      <c r="N760" s="22"/>
    </row>
    <row r="761" spans="1:14">
      <c r="A761" s="492"/>
      <c r="B761" s="237"/>
      <c r="C761" s="237"/>
      <c r="D761" s="237"/>
      <c r="E761" s="237"/>
      <c r="F761" s="237"/>
      <c r="G761" s="237"/>
      <c r="H761" s="237"/>
      <c r="I761" s="22"/>
      <c r="J761" s="22"/>
      <c r="K761" s="22"/>
      <c r="L761" s="22"/>
      <c r="M761" s="22"/>
      <c r="N761" s="22"/>
    </row>
    <row r="762" spans="1:14">
      <c r="A762" s="492"/>
      <c r="B762" s="237"/>
      <c r="C762" s="237"/>
      <c r="D762" s="237"/>
      <c r="E762" s="237"/>
      <c r="F762" s="237"/>
      <c r="G762" s="237"/>
      <c r="H762" s="237"/>
      <c r="I762" s="22"/>
      <c r="J762" s="22"/>
      <c r="K762" s="22"/>
      <c r="L762" s="22"/>
      <c r="M762" s="22"/>
      <c r="N762" s="22"/>
    </row>
    <row r="763" spans="1:14">
      <c r="A763" s="492"/>
      <c r="B763" s="237"/>
      <c r="C763" s="237"/>
      <c r="D763" s="237"/>
      <c r="E763" s="237"/>
      <c r="F763" s="237"/>
      <c r="G763" s="237"/>
      <c r="H763" s="237"/>
      <c r="I763" s="22"/>
      <c r="J763" s="22"/>
      <c r="K763" s="22"/>
      <c r="L763" s="22"/>
      <c r="M763" s="22"/>
      <c r="N763" s="22"/>
    </row>
    <row r="764" spans="1:14">
      <c r="A764" s="492"/>
      <c r="B764" s="237"/>
      <c r="C764" s="237"/>
      <c r="D764" s="237"/>
      <c r="E764" s="237"/>
      <c r="F764" s="237"/>
      <c r="G764" s="237"/>
      <c r="H764" s="237"/>
      <c r="I764" s="22"/>
      <c r="J764" s="22"/>
      <c r="K764" s="22"/>
      <c r="L764" s="22"/>
      <c r="M764" s="22"/>
      <c r="N764" s="22"/>
    </row>
    <row r="765" spans="1:14">
      <c r="A765" s="492"/>
      <c r="B765" s="237"/>
      <c r="C765" s="237"/>
      <c r="D765" s="237"/>
      <c r="E765" s="237"/>
      <c r="F765" s="237"/>
      <c r="G765" s="237"/>
      <c r="H765" s="237"/>
      <c r="I765" s="22"/>
      <c r="J765" s="22"/>
      <c r="K765" s="22"/>
      <c r="L765" s="22"/>
      <c r="M765" s="22"/>
      <c r="N765" s="22"/>
    </row>
    <row r="766" spans="1:14">
      <c r="A766" s="492"/>
      <c r="B766" s="237"/>
      <c r="C766" s="237"/>
      <c r="D766" s="237"/>
      <c r="E766" s="237"/>
      <c r="F766" s="237"/>
      <c r="G766" s="237"/>
      <c r="H766" s="237"/>
      <c r="I766" s="22"/>
      <c r="J766" s="22"/>
      <c r="K766" s="22"/>
      <c r="L766" s="22"/>
      <c r="M766" s="22"/>
      <c r="N766" s="22"/>
    </row>
    <row r="767" spans="1:14">
      <c r="A767" s="493"/>
      <c r="B767" s="237"/>
      <c r="C767" s="237"/>
      <c r="D767" s="237"/>
      <c r="E767" s="237"/>
      <c r="F767" s="237"/>
      <c r="G767" s="237"/>
      <c r="H767" s="237"/>
      <c r="I767" s="22"/>
      <c r="J767" s="22"/>
      <c r="K767" s="22"/>
      <c r="L767" s="22"/>
      <c r="M767" s="22"/>
      <c r="N767" s="22"/>
    </row>
    <row r="768" spans="1:14">
      <c r="A768" s="237"/>
      <c r="B768" s="237"/>
      <c r="C768" s="237"/>
      <c r="D768" s="237"/>
      <c r="E768" s="237"/>
      <c r="F768" s="237"/>
      <c r="G768" s="237"/>
      <c r="H768" s="237"/>
      <c r="I768" s="22"/>
      <c r="J768" s="22"/>
      <c r="K768" s="22"/>
      <c r="L768" s="22"/>
      <c r="M768" s="22"/>
      <c r="N768" s="22"/>
    </row>
    <row r="769" spans="1:14">
      <c r="A769" s="492"/>
      <c r="B769" s="237"/>
      <c r="C769" s="237"/>
      <c r="D769" s="237"/>
      <c r="E769" s="237"/>
      <c r="F769" s="237"/>
      <c r="G769" s="237"/>
      <c r="H769" s="237"/>
      <c r="I769" s="22"/>
      <c r="J769" s="22"/>
      <c r="K769" s="22"/>
      <c r="L769" s="22"/>
      <c r="M769" s="22"/>
      <c r="N769" s="22"/>
    </row>
    <row r="770" spans="1:14">
      <c r="A770" s="492"/>
      <c r="B770" s="237"/>
      <c r="C770" s="237"/>
      <c r="D770" s="237"/>
      <c r="E770" s="237"/>
      <c r="F770" s="237"/>
      <c r="G770" s="237"/>
      <c r="H770" s="237"/>
      <c r="I770" s="22"/>
      <c r="J770" s="22"/>
      <c r="K770" s="22"/>
      <c r="L770" s="22"/>
      <c r="M770" s="22"/>
      <c r="N770" s="22"/>
    </row>
    <row r="771" spans="1:14">
      <c r="A771" s="462"/>
      <c r="B771" s="438"/>
      <c r="C771" s="438"/>
      <c r="D771" s="237"/>
      <c r="E771" s="237"/>
      <c r="F771" s="237"/>
      <c r="G771" s="237"/>
      <c r="H771" s="237"/>
      <c r="I771" s="22"/>
      <c r="J771" s="22"/>
      <c r="K771" s="22"/>
      <c r="L771" s="22"/>
      <c r="M771" s="22"/>
      <c r="N771" s="22"/>
    </row>
    <row r="772" spans="1:14">
      <c r="A772" s="462"/>
      <c r="B772" s="459"/>
      <c r="C772" s="459"/>
      <c r="D772" s="237"/>
      <c r="E772" s="237"/>
      <c r="F772" s="237"/>
      <c r="G772" s="237"/>
      <c r="H772" s="237"/>
      <c r="I772" s="22"/>
      <c r="J772" s="22"/>
      <c r="K772" s="22"/>
      <c r="L772" s="22"/>
      <c r="M772" s="22"/>
      <c r="N772" s="22"/>
    </row>
    <row r="773" spans="1:14">
      <c r="A773" s="237"/>
      <c r="B773" s="237"/>
      <c r="C773" s="237"/>
      <c r="D773" s="237"/>
      <c r="E773" s="237"/>
      <c r="F773" s="237"/>
      <c r="G773" s="237"/>
      <c r="H773" s="237"/>
      <c r="I773" s="22"/>
      <c r="J773" s="22"/>
      <c r="K773" s="22"/>
      <c r="L773" s="22"/>
      <c r="M773" s="22"/>
      <c r="N773" s="22"/>
    </row>
    <row r="774" spans="1:14">
      <c r="A774" s="446"/>
      <c r="B774" s="446"/>
      <c r="C774" s="446"/>
      <c r="D774" s="446"/>
      <c r="E774" s="486"/>
      <c r="F774" s="237"/>
      <c r="G774" s="237"/>
      <c r="H774" s="237"/>
      <c r="I774" s="22"/>
      <c r="J774" s="22"/>
      <c r="K774" s="22"/>
      <c r="L774" s="22"/>
      <c r="M774" s="22"/>
      <c r="N774" s="22"/>
    </row>
    <row r="775" spans="1:14">
      <c r="A775" s="237"/>
      <c r="B775" s="237"/>
      <c r="C775" s="237"/>
      <c r="D775" s="237"/>
      <c r="E775" s="237"/>
      <c r="F775" s="237"/>
      <c r="G775" s="237"/>
      <c r="H775" s="237"/>
      <c r="I775" s="22"/>
      <c r="J775" s="22"/>
      <c r="K775" s="22"/>
      <c r="L775" s="22"/>
      <c r="M775" s="22"/>
      <c r="N775" s="22"/>
    </row>
    <row r="776" spans="1:14">
      <c r="A776" s="465"/>
      <c r="B776" s="237"/>
      <c r="C776" s="237"/>
      <c r="D776" s="237"/>
      <c r="E776" s="237"/>
      <c r="F776" s="488"/>
      <c r="G776" s="446"/>
      <c r="H776" s="237"/>
      <c r="I776" s="22"/>
      <c r="J776" s="22"/>
      <c r="K776" s="22"/>
      <c r="L776" s="22"/>
      <c r="M776" s="22"/>
      <c r="N776" s="22"/>
    </row>
    <row r="777" spans="1:14">
      <c r="A777" s="465"/>
      <c r="B777" s="237"/>
      <c r="C777" s="237"/>
      <c r="D777" s="237"/>
      <c r="E777" s="237"/>
      <c r="F777" s="237"/>
      <c r="G777" s="237"/>
      <c r="H777" s="237"/>
      <c r="I777" s="22"/>
      <c r="J777" s="22"/>
      <c r="K777" s="22"/>
      <c r="L777" s="22"/>
      <c r="M777" s="22"/>
      <c r="N777" s="22"/>
    </row>
    <row r="778" spans="1:14">
      <c r="A778" s="437"/>
      <c r="B778" s="437"/>
      <c r="C778" s="437"/>
      <c r="D778" s="437"/>
      <c r="E778" s="437"/>
      <c r="F778" s="459"/>
      <c r="G778" s="237"/>
      <c r="H778" s="237"/>
      <c r="I778" s="22"/>
      <c r="J778" s="22"/>
      <c r="K778" s="22"/>
      <c r="L778" s="22"/>
      <c r="M778" s="22"/>
      <c r="N778" s="22"/>
    </row>
    <row r="779" spans="1:14">
      <c r="A779" s="437"/>
      <c r="B779" s="443"/>
      <c r="C779" s="443"/>
      <c r="D779" s="443"/>
      <c r="E779" s="443"/>
      <c r="F779" s="459"/>
      <c r="G779" s="237"/>
      <c r="H779" s="237"/>
      <c r="I779" s="22"/>
      <c r="J779" s="22"/>
      <c r="K779" s="22"/>
      <c r="L779" s="22"/>
      <c r="M779" s="22"/>
      <c r="N779" s="22"/>
    </row>
    <row r="780" spans="1:14">
      <c r="A780" s="446"/>
      <c r="B780" s="446"/>
      <c r="C780" s="446"/>
      <c r="D780" s="446"/>
      <c r="E780" s="446"/>
      <c r="F780" s="486"/>
      <c r="G780" s="237"/>
      <c r="H780" s="237"/>
      <c r="I780" s="22"/>
      <c r="J780" s="22"/>
      <c r="K780" s="22"/>
      <c r="L780" s="22"/>
      <c r="M780" s="22"/>
      <c r="N780" s="22"/>
    </row>
    <row r="781" spans="1:14">
      <c r="A781" s="474"/>
      <c r="B781" s="474"/>
      <c r="C781" s="474"/>
      <c r="D781" s="474"/>
      <c r="E781" s="474"/>
      <c r="F781" s="486"/>
      <c r="G781" s="237"/>
      <c r="H781" s="237"/>
      <c r="I781" s="22"/>
      <c r="J781" s="22"/>
      <c r="K781" s="22"/>
      <c r="L781" s="22"/>
      <c r="M781" s="22"/>
      <c r="N781" s="22"/>
    </row>
    <row r="782" spans="1:14">
      <c r="A782" s="474"/>
      <c r="B782" s="474"/>
      <c r="C782" s="474"/>
      <c r="D782" s="474"/>
      <c r="E782" s="474"/>
      <c r="F782" s="486"/>
      <c r="G782" s="237"/>
      <c r="H782" s="237"/>
      <c r="I782" s="22"/>
      <c r="J782" s="22"/>
      <c r="K782" s="22"/>
      <c r="L782" s="22"/>
      <c r="M782" s="22"/>
      <c r="N782" s="22"/>
    </row>
    <row r="783" spans="1:14">
      <c r="A783" s="446"/>
      <c r="B783" s="446"/>
      <c r="C783" s="446"/>
      <c r="D783" s="446"/>
      <c r="E783" s="446"/>
      <c r="F783" s="446"/>
      <c r="G783" s="237"/>
      <c r="H783" s="237"/>
      <c r="I783" s="22"/>
      <c r="J783" s="22"/>
      <c r="K783" s="22"/>
      <c r="L783" s="22"/>
      <c r="M783" s="22"/>
      <c r="N783" s="22"/>
    </row>
    <row r="784" spans="1:14">
      <c r="A784" s="437"/>
      <c r="B784" s="437"/>
      <c r="C784" s="437"/>
      <c r="D784" s="437"/>
      <c r="E784" s="494"/>
      <c r="F784" s="494"/>
      <c r="G784" s="237"/>
      <c r="H784" s="237"/>
      <c r="I784" s="22"/>
      <c r="J784" s="22"/>
      <c r="K784" s="22"/>
      <c r="L784" s="22"/>
      <c r="M784" s="22"/>
      <c r="N784" s="22"/>
    </row>
    <row r="785" spans="1:14">
      <c r="A785" s="446"/>
      <c r="B785" s="446"/>
      <c r="C785" s="446"/>
      <c r="D785" s="446"/>
      <c r="E785" s="494"/>
      <c r="F785" s="494"/>
      <c r="G785" s="237"/>
      <c r="H785" s="237"/>
      <c r="I785" s="22"/>
      <c r="J785" s="22"/>
      <c r="K785" s="22"/>
      <c r="L785" s="22"/>
      <c r="M785" s="22"/>
      <c r="N785" s="22"/>
    </row>
    <row r="786" spans="1:14">
      <c r="A786" s="216"/>
      <c r="B786" s="438"/>
      <c r="C786" s="438"/>
      <c r="D786" s="438"/>
      <c r="E786" s="461"/>
      <c r="F786" s="486"/>
      <c r="G786" s="237"/>
      <c r="H786" s="237"/>
      <c r="I786" s="22"/>
      <c r="J786" s="22"/>
      <c r="K786" s="22"/>
      <c r="L786" s="22"/>
      <c r="M786" s="22"/>
      <c r="N786" s="22"/>
    </row>
    <row r="787" spans="1:14">
      <c r="A787" s="465"/>
      <c r="B787" s="237"/>
      <c r="C787" s="237"/>
      <c r="D787" s="237"/>
      <c r="E787" s="237"/>
      <c r="F787" s="237"/>
      <c r="G787" s="237"/>
      <c r="H787" s="237"/>
      <c r="I787" s="22"/>
      <c r="J787" s="22"/>
      <c r="K787" s="22"/>
      <c r="L787" s="22"/>
      <c r="M787" s="22"/>
      <c r="N787" s="22"/>
    </row>
    <row r="788" spans="1:14">
      <c r="A788" s="446"/>
      <c r="B788" s="443"/>
      <c r="C788" s="443"/>
      <c r="D788" s="443"/>
      <c r="E788" s="446"/>
      <c r="F788" s="446"/>
      <c r="G788" s="295"/>
      <c r="H788" s="295"/>
      <c r="I788" s="131"/>
      <c r="J788" s="22"/>
      <c r="K788" s="22"/>
      <c r="L788" s="22"/>
      <c r="M788" s="22"/>
      <c r="N788" s="22"/>
    </row>
    <row r="789" spans="1:14">
      <c r="A789" s="289"/>
      <c r="B789" s="443"/>
      <c r="C789" s="443"/>
      <c r="D789" s="443"/>
      <c r="E789" s="459"/>
      <c r="F789" s="495"/>
      <c r="G789" s="496"/>
      <c r="H789" s="289"/>
      <c r="I789" s="131"/>
      <c r="J789" s="22"/>
      <c r="K789" s="22"/>
      <c r="L789" s="22"/>
      <c r="M789" s="22"/>
      <c r="N789" s="22"/>
    </row>
    <row r="790" spans="1:14">
      <c r="A790" s="289"/>
      <c r="B790" s="443"/>
      <c r="C790" s="443"/>
      <c r="D790" s="443"/>
      <c r="E790" s="459"/>
      <c r="F790" s="495"/>
      <c r="G790" s="497"/>
      <c r="H790" s="289"/>
      <c r="I790" s="131"/>
      <c r="J790" s="22"/>
      <c r="K790" s="22"/>
      <c r="L790" s="22"/>
      <c r="M790" s="22"/>
      <c r="N790" s="22"/>
    </row>
    <row r="791" spans="1:14">
      <c r="A791" s="437"/>
      <c r="B791" s="437"/>
      <c r="C791" s="437"/>
      <c r="D791" s="437"/>
      <c r="E791" s="459"/>
      <c r="F791" s="495"/>
      <c r="G791" s="289"/>
      <c r="H791" s="289"/>
      <c r="I791" s="131"/>
      <c r="J791" s="22"/>
      <c r="K791" s="22"/>
      <c r="L791" s="22"/>
      <c r="M791" s="22"/>
      <c r="N791" s="22"/>
    </row>
    <row r="792" spans="1:14">
      <c r="A792" s="437"/>
      <c r="B792" s="437"/>
      <c r="C792" s="437"/>
      <c r="D792" s="437"/>
      <c r="E792" s="459"/>
      <c r="F792" s="495"/>
      <c r="G792" s="497"/>
      <c r="H792" s="289"/>
      <c r="I792" s="131"/>
      <c r="J792" s="22"/>
      <c r="K792" s="22"/>
      <c r="L792" s="22"/>
      <c r="M792" s="22"/>
      <c r="N792" s="22"/>
    </row>
    <row r="793" spans="1:14">
      <c r="A793" s="437"/>
      <c r="B793" s="437"/>
      <c r="C793" s="437"/>
      <c r="D793" s="437"/>
      <c r="E793" s="459"/>
      <c r="F793" s="495"/>
      <c r="G793" s="497"/>
      <c r="H793" s="289"/>
      <c r="I793" s="131"/>
      <c r="J793" s="22"/>
      <c r="K793" s="22"/>
      <c r="L793" s="22"/>
      <c r="M793" s="22"/>
      <c r="N793" s="22"/>
    </row>
    <row r="794" spans="1:14">
      <c r="A794" s="437"/>
      <c r="B794" s="437"/>
      <c r="C794" s="437"/>
      <c r="D794" s="437"/>
      <c r="E794" s="459"/>
      <c r="F794" s="495"/>
      <c r="G794" s="497"/>
      <c r="H794" s="289"/>
      <c r="I794" s="131"/>
      <c r="J794" s="22"/>
      <c r="K794" s="22"/>
      <c r="L794" s="22"/>
      <c r="M794" s="22"/>
      <c r="N794" s="22"/>
    </row>
    <row r="795" spans="1:14">
      <c r="A795" s="437"/>
      <c r="B795" s="437"/>
      <c r="C795" s="437"/>
      <c r="D795" s="437"/>
      <c r="E795" s="459"/>
      <c r="F795" s="459"/>
      <c r="G795" s="497"/>
      <c r="H795" s="289"/>
      <c r="I795" s="131"/>
      <c r="J795" s="22"/>
      <c r="K795" s="22"/>
      <c r="L795" s="22"/>
      <c r="M795" s="22"/>
      <c r="N795" s="22"/>
    </row>
    <row r="796" spans="1:14">
      <c r="A796" s="437"/>
      <c r="B796" s="437"/>
      <c r="C796" s="437"/>
      <c r="D796" s="437"/>
      <c r="E796" s="498"/>
      <c r="F796" s="437"/>
      <c r="G796" s="497"/>
      <c r="H796" s="289"/>
      <c r="I796" s="131"/>
      <c r="J796" s="22"/>
      <c r="K796" s="22"/>
      <c r="L796" s="22"/>
      <c r="M796" s="22"/>
      <c r="N796" s="22"/>
    </row>
    <row r="797" spans="1:14">
      <c r="A797" s="446"/>
      <c r="B797" s="446"/>
      <c r="C797" s="446"/>
      <c r="D797" s="446"/>
      <c r="E797" s="466"/>
      <c r="F797" s="466"/>
      <c r="G797" s="499"/>
      <c r="H797" s="500"/>
      <c r="I797" s="131"/>
      <c r="J797" s="22"/>
      <c r="K797" s="22"/>
      <c r="L797" s="22"/>
      <c r="M797" s="22"/>
      <c r="N797" s="22"/>
    </row>
    <row r="798" spans="1:14">
      <c r="A798" s="237"/>
      <c r="B798" s="237"/>
      <c r="C798" s="237"/>
      <c r="D798" s="237"/>
      <c r="E798" s="237"/>
      <c r="F798" s="237"/>
      <c r="G798" s="237"/>
      <c r="H798" s="237"/>
      <c r="I798" s="318"/>
      <c r="J798" s="22"/>
      <c r="K798" s="22"/>
      <c r="L798" s="22"/>
      <c r="M798" s="22"/>
      <c r="N798" s="22"/>
    </row>
    <row r="799" spans="1:14">
      <c r="A799" s="465"/>
      <c r="B799" s="237"/>
      <c r="C799" s="237"/>
      <c r="D799" s="237"/>
      <c r="E799" s="237"/>
      <c r="F799" s="237"/>
      <c r="G799" s="237"/>
      <c r="H799" s="237"/>
      <c r="I799" s="22"/>
      <c r="J799" s="22"/>
      <c r="K799" s="22"/>
      <c r="L799" s="22"/>
      <c r="M799" s="22"/>
      <c r="N799" s="22"/>
    </row>
    <row r="800" spans="1:14">
      <c r="A800" s="446"/>
      <c r="B800" s="446"/>
      <c r="C800" s="449"/>
      <c r="D800" s="446"/>
      <c r="E800" s="446"/>
      <c r="F800" s="446"/>
      <c r="G800" s="446"/>
      <c r="H800" s="237"/>
      <c r="I800" s="22"/>
      <c r="J800" s="22"/>
      <c r="K800" s="22"/>
      <c r="L800" s="22"/>
      <c r="M800" s="22"/>
      <c r="N800" s="22"/>
    </row>
    <row r="801" spans="1:14">
      <c r="A801" s="437"/>
      <c r="B801" s="437"/>
      <c r="C801" s="452"/>
      <c r="D801" s="488"/>
      <c r="E801" s="446"/>
      <c r="F801" s="488"/>
      <c r="G801" s="446"/>
      <c r="H801" s="237"/>
      <c r="I801" s="22"/>
      <c r="J801" s="22"/>
      <c r="K801" s="22"/>
      <c r="L801" s="22"/>
      <c r="M801" s="22"/>
      <c r="N801" s="22"/>
    </row>
    <row r="802" spans="1:14">
      <c r="A802" s="237"/>
      <c r="B802" s="237"/>
      <c r="C802" s="237"/>
      <c r="D802" s="237"/>
      <c r="E802" s="237"/>
      <c r="F802" s="237"/>
      <c r="G802" s="237"/>
      <c r="H802" s="237"/>
      <c r="I802" s="22"/>
      <c r="J802" s="22"/>
      <c r="K802" s="22"/>
      <c r="L802" s="22"/>
      <c r="M802" s="22"/>
      <c r="N802" s="22"/>
    </row>
    <row r="803" spans="1:14">
      <c r="A803" s="237"/>
      <c r="B803" s="237"/>
      <c r="C803" s="237"/>
      <c r="D803" s="237"/>
      <c r="E803" s="237"/>
      <c r="F803" s="237"/>
      <c r="G803" s="237"/>
      <c r="H803" s="237"/>
      <c r="I803" s="22"/>
      <c r="J803" s="22"/>
      <c r="K803" s="22"/>
      <c r="L803" s="22"/>
      <c r="M803" s="22"/>
      <c r="N803" s="22"/>
    </row>
    <row r="804" spans="1:14">
      <c r="A804" s="465"/>
      <c r="B804" s="237"/>
      <c r="C804" s="237"/>
      <c r="D804" s="237"/>
      <c r="E804" s="237"/>
      <c r="F804" s="237"/>
      <c r="G804" s="237"/>
      <c r="H804" s="237"/>
      <c r="I804" s="320"/>
      <c r="J804" s="320"/>
      <c r="K804" s="22"/>
      <c r="L804" s="22"/>
      <c r="M804" s="22"/>
      <c r="N804" s="22"/>
    </row>
    <row r="805" spans="1:14">
      <c r="A805" s="237"/>
      <c r="B805" s="237"/>
      <c r="C805" s="237"/>
      <c r="D805" s="237"/>
      <c r="E805" s="237"/>
      <c r="F805" s="237"/>
      <c r="G805" s="237"/>
      <c r="H805" s="237"/>
      <c r="I805" s="22"/>
      <c r="J805" s="22"/>
      <c r="K805" s="22"/>
      <c r="L805" s="22"/>
      <c r="M805" s="22"/>
      <c r="N805" s="22"/>
    </row>
    <row r="806" spans="1:14">
      <c r="A806" s="237"/>
      <c r="B806" s="237"/>
      <c r="C806" s="237"/>
      <c r="D806" s="237"/>
      <c r="E806" s="237"/>
      <c r="F806" s="237"/>
      <c r="G806" s="237"/>
      <c r="H806" s="237"/>
      <c r="I806" s="22"/>
      <c r="J806" s="22"/>
      <c r="K806" s="22"/>
      <c r="L806" s="22"/>
      <c r="M806" s="22"/>
      <c r="N806" s="22"/>
    </row>
    <row r="807" spans="1:14">
      <c r="A807" s="237"/>
      <c r="B807" s="237"/>
      <c r="C807" s="501"/>
      <c r="D807" s="237"/>
      <c r="E807" s="237"/>
      <c r="F807" s="237"/>
      <c r="G807" s="237"/>
      <c r="H807" s="237"/>
      <c r="I807" s="22"/>
      <c r="J807" s="22"/>
      <c r="K807" s="22"/>
      <c r="L807" s="22"/>
      <c r="M807" s="22"/>
      <c r="N807" s="22"/>
    </row>
    <row r="808" spans="1:14">
      <c r="A808" s="237"/>
      <c r="B808" s="237"/>
      <c r="C808" s="237"/>
      <c r="D808" s="237"/>
      <c r="E808" s="237"/>
      <c r="F808" s="237"/>
      <c r="G808" s="237"/>
      <c r="H808" s="237"/>
      <c r="I808" s="22"/>
      <c r="J808" s="22"/>
      <c r="K808" s="22"/>
      <c r="L808" s="22"/>
      <c r="M808" s="22"/>
      <c r="N808" s="22"/>
    </row>
    <row r="809" spans="1:14">
      <c r="A809" s="465"/>
      <c r="B809" s="237"/>
      <c r="C809" s="237"/>
      <c r="D809" s="237"/>
      <c r="E809" s="466"/>
      <c r="F809" s="467"/>
      <c r="G809" s="237"/>
      <c r="H809" s="237"/>
      <c r="I809" s="22"/>
      <c r="J809" s="22"/>
      <c r="K809" s="22"/>
      <c r="L809" s="22"/>
      <c r="M809" s="22"/>
      <c r="N809" s="22"/>
    </row>
    <row r="810" spans="1:14">
      <c r="A810" s="237"/>
      <c r="B810" s="216"/>
      <c r="C810" s="216"/>
      <c r="D810" s="216"/>
      <c r="E810" s="216"/>
      <c r="F810" s="216"/>
      <c r="G810" s="216"/>
      <c r="H810" s="216"/>
      <c r="J810" s="22"/>
      <c r="K810" s="22"/>
      <c r="L810" s="22"/>
      <c r="M810" s="22"/>
      <c r="N810" s="22"/>
    </row>
    <row r="811" spans="1:14">
      <c r="A811" s="216"/>
      <c r="B811" s="237"/>
      <c r="C811" s="237"/>
      <c r="D811" s="237"/>
      <c r="E811" s="237"/>
      <c r="F811" s="237"/>
      <c r="G811" s="237"/>
      <c r="H811" s="237"/>
      <c r="I811" s="22"/>
      <c r="J811" s="22"/>
      <c r="K811" s="22"/>
      <c r="L811" s="22"/>
      <c r="M811" s="22"/>
      <c r="N811" s="22"/>
    </row>
    <row r="812" spans="1:14">
      <c r="A812" s="437"/>
      <c r="B812" s="443"/>
      <c r="C812" s="443"/>
      <c r="D812" s="468"/>
      <c r="E812" s="237"/>
      <c r="F812" s="237"/>
      <c r="G812" s="237"/>
      <c r="H812" s="237"/>
      <c r="I812" s="22"/>
      <c r="J812" s="22"/>
      <c r="K812" s="22"/>
      <c r="L812" s="22"/>
      <c r="M812" s="22"/>
      <c r="N812" s="22"/>
    </row>
    <row r="813" spans="1:14">
      <c r="A813" s="437"/>
      <c r="B813" s="443"/>
      <c r="C813" s="443"/>
      <c r="D813" s="464"/>
      <c r="E813" s="237"/>
      <c r="F813" s="237"/>
      <c r="G813" s="237"/>
      <c r="H813" s="237"/>
      <c r="I813" s="22"/>
      <c r="J813" s="22"/>
      <c r="K813" s="22"/>
      <c r="L813" s="22"/>
      <c r="M813" s="22"/>
      <c r="N813" s="22"/>
    </row>
    <row r="814" spans="1:14">
      <c r="A814" s="437"/>
      <c r="B814" s="437"/>
      <c r="C814" s="443"/>
      <c r="D814" s="464"/>
      <c r="E814" s="237"/>
      <c r="F814" s="237"/>
      <c r="G814" s="237"/>
      <c r="H814" s="237"/>
      <c r="I814" s="22"/>
      <c r="J814" s="22"/>
      <c r="K814" s="22"/>
      <c r="L814" s="22"/>
      <c r="M814" s="22"/>
      <c r="N814" s="22"/>
    </row>
    <row r="815" spans="1:14">
      <c r="A815" s="446"/>
      <c r="B815" s="446"/>
      <c r="C815" s="443"/>
      <c r="D815" s="463"/>
      <c r="E815" s="237"/>
      <c r="F815" s="237"/>
      <c r="G815" s="237"/>
      <c r="H815" s="237"/>
      <c r="I815" s="22"/>
      <c r="J815" s="22"/>
      <c r="K815" s="22"/>
      <c r="L815" s="22"/>
      <c r="M815" s="22"/>
      <c r="N815" s="22"/>
    </row>
    <row r="816" spans="1:14">
      <c r="A816" s="237"/>
      <c r="B816" s="237"/>
      <c r="C816" s="237"/>
      <c r="D816" s="237"/>
      <c r="E816" s="237"/>
      <c r="F816" s="237"/>
      <c r="G816" s="237"/>
      <c r="H816" s="237"/>
      <c r="I816" s="22"/>
      <c r="J816" s="22"/>
      <c r="K816" s="22"/>
      <c r="L816" s="22"/>
      <c r="M816" s="22"/>
      <c r="N816" s="22"/>
    </row>
    <row r="817" spans="1:14">
      <c r="A817" s="465"/>
      <c r="B817" s="237"/>
      <c r="C817" s="237"/>
      <c r="D817" s="237"/>
      <c r="E817" s="466"/>
      <c r="F817" s="466"/>
      <c r="G817" s="237"/>
      <c r="H817" s="237"/>
      <c r="I817" s="22"/>
      <c r="J817" s="22"/>
      <c r="K817" s="22"/>
      <c r="L817" s="22"/>
      <c r="M817" s="22"/>
      <c r="N817" s="22"/>
    </row>
    <row r="818" spans="1:14">
      <c r="A818" s="237"/>
      <c r="B818" s="237"/>
      <c r="C818" s="237"/>
      <c r="D818" s="237"/>
      <c r="E818" s="237"/>
      <c r="F818" s="237"/>
      <c r="G818" s="237"/>
      <c r="H818" s="237"/>
      <c r="I818" s="22"/>
      <c r="J818" s="22"/>
      <c r="K818" s="22"/>
      <c r="L818" s="22"/>
      <c r="M818" s="22"/>
      <c r="N818" s="22"/>
    </row>
    <row r="819" spans="1:14">
      <c r="A819" s="237"/>
      <c r="B819" s="237"/>
      <c r="C819" s="237"/>
      <c r="D819" s="237"/>
      <c r="E819" s="237"/>
      <c r="F819" s="237"/>
      <c r="G819" s="237"/>
      <c r="H819" s="237"/>
      <c r="I819" s="22"/>
      <c r="J819" s="22"/>
      <c r="K819" s="22"/>
      <c r="L819" s="22"/>
      <c r="M819" s="22"/>
      <c r="N819" s="22"/>
    </row>
    <row r="820" spans="1:14">
      <c r="A820" s="438"/>
      <c r="B820" s="438"/>
      <c r="C820" s="438"/>
      <c r="D820" s="438"/>
      <c r="E820" s="438"/>
      <c r="F820" s="438"/>
      <c r="G820" s="438"/>
      <c r="H820" s="237"/>
      <c r="I820" s="22"/>
      <c r="J820" s="22"/>
      <c r="K820" s="22"/>
      <c r="L820" s="22"/>
      <c r="M820" s="22"/>
      <c r="N820" s="22"/>
    </row>
    <row r="821" spans="1:14">
      <c r="A821" s="237"/>
      <c r="B821" s="237"/>
      <c r="C821" s="237"/>
      <c r="D821" s="237"/>
      <c r="E821" s="237"/>
      <c r="F821" s="237"/>
      <c r="G821" s="237"/>
      <c r="H821" s="237"/>
      <c r="I821" s="22"/>
      <c r="J821" s="22"/>
      <c r="K821" s="22"/>
      <c r="L821" s="22"/>
      <c r="M821" s="22"/>
      <c r="N821" s="22"/>
    </row>
    <row r="822" spans="1:14">
      <c r="A822" s="216"/>
      <c r="B822" s="237"/>
      <c r="C822" s="237"/>
      <c r="D822" s="476"/>
      <c r="E822" s="477"/>
      <c r="F822" s="476"/>
      <c r="G822" s="237"/>
      <c r="H822" s="237"/>
      <c r="I822" s="22"/>
      <c r="J822" s="22"/>
      <c r="K822" s="22"/>
      <c r="L822" s="22"/>
      <c r="M822" s="22"/>
      <c r="N822" s="22"/>
    </row>
    <row r="823" spans="1:14">
      <c r="A823" s="437"/>
      <c r="B823" s="437"/>
      <c r="C823" s="437"/>
      <c r="D823" s="452"/>
      <c r="E823" s="478"/>
      <c r="F823" s="478"/>
      <c r="G823" s="237"/>
      <c r="H823" s="237"/>
      <c r="I823" s="22"/>
      <c r="J823" s="22"/>
      <c r="K823" s="22"/>
      <c r="L823" s="22"/>
      <c r="M823" s="22"/>
      <c r="N823" s="22"/>
    </row>
    <row r="824" spans="1:14">
      <c r="A824" s="437"/>
      <c r="B824" s="437"/>
      <c r="C824" s="437"/>
      <c r="D824" s="452"/>
      <c r="E824" s="478"/>
      <c r="F824" s="478"/>
      <c r="G824" s="237"/>
      <c r="H824" s="237"/>
      <c r="I824" s="22"/>
      <c r="J824" s="22"/>
      <c r="K824" s="22"/>
      <c r="L824" s="22"/>
      <c r="M824" s="22"/>
      <c r="N824" s="22"/>
    </row>
    <row r="825" spans="1:14">
      <c r="A825" s="237"/>
      <c r="B825" s="237"/>
      <c r="C825" s="237"/>
      <c r="D825" s="237"/>
      <c r="E825" s="237"/>
      <c r="F825" s="237"/>
      <c r="G825" s="237"/>
      <c r="H825" s="237"/>
      <c r="I825" s="22"/>
      <c r="J825" s="22"/>
      <c r="K825" s="22"/>
      <c r="L825" s="22"/>
      <c r="M825" s="22"/>
      <c r="N825" s="22"/>
    </row>
    <row r="826" spans="1:14">
      <c r="A826" s="479"/>
      <c r="B826" s="480"/>
      <c r="C826" s="480"/>
      <c r="D826" s="481"/>
      <c r="E826" s="466"/>
      <c r="F826" s="237"/>
      <c r="G826" s="237"/>
      <c r="H826" s="237"/>
      <c r="I826" s="22"/>
      <c r="J826" s="22"/>
      <c r="K826" s="22"/>
      <c r="L826" s="22"/>
      <c r="M826" s="22"/>
      <c r="N826" s="22"/>
    </row>
    <row r="827" spans="1:14">
      <c r="A827" s="446"/>
      <c r="B827" s="446"/>
      <c r="C827" s="446"/>
      <c r="D827" s="481"/>
      <c r="E827" s="466"/>
      <c r="F827" s="237"/>
      <c r="G827" s="237"/>
      <c r="H827" s="237"/>
      <c r="I827" s="22"/>
      <c r="J827" s="22"/>
      <c r="K827" s="22"/>
      <c r="L827" s="22"/>
      <c r="M827" s="22"/>
      <c r="N827" s="22"/>
    </row>
    <row r="828" spans="1:14">
      <c r="A828" s="237"/>
      <c r="B828" s="237"/>
      <c r="C828" s="237"/>
      <c r="D828" s="237"/>
      <c r="E828" s="237"/>
      <c r="F828" s="237"/>
      <c r="G828" s="237"/>
      <c r="H828" s="237"/>
      <c r="I828" s="22"/>
      <c r="J828" s="22"/>
      <c r="K828" s="22"/>
      <c r="L828" s="22"/>
      <c r="M828" s="22"/>
      <c r="N828" s="22"/>
    </row>
    <row r="829" spans="1:14">
      <c r="A829" s="465"/>
      <c r="B829" s="237"/>
      <c r="C829" s="237"/>
      <c r="D829" s="237"/>
      <c r="E829" s="466"/>
      <c r="F829" s="466"/>
      <c r="G829" s="237"/>
      <c r="H829" s="237"/>
      <c r="I829" s="22"/>
      <c r="J829" s="22"/>
      <c r="K829" s="22"/>
      <c r="L829" s="22"/>
      <c r="M829" s="22"/>
      <c r="N829" s="22"/>
    </row>
    <row r="830" spans="1:14">
      <c r="A830" s="237"/>
      <c r="B830" s="237"/>
      <c r="C830" s="237"/>
      <c r="D830" s="237"/>
      <c r="E830" s="237"/>
      <c r="F830" s="237"/>
      <c r="G830" s="237"/>
      <c r="H830" s="237"/>
      <c r="I830" s="22"/>
      <c r="J830" s="22"/>
      <c r="K830" s="22"/>
      <c r="L830" s="22"/>
      <c r="M830" s="22"/>
      <c r="N830" s="22"/>
    </row>
    <row r="831" spans="1:14">
      <c r="A831" s="465"/>
      <c r="B831" s="237"/>
      <c r="C831" s="237"/>
      <c r="D831" s="237"/>
      <c r="E831" s="237"/>
      <c r="F831" s="237"/>
      <c r="G831" s="237"/>
      <c r="H831" s="237"/>
      <c r="I831" s="22"/>
      <c r="J831" s="22"/>
      <c r="K831" s="22"/>
      <c r="L831" s="22"/>
      <c r="M831" s="22"/>
      <c r="N831" s="22"/>
    </row>
    <row r="832" spans="1:14">
      <c r="A832" s="437"/>
      <c r="B832" s="437"/>
      <c r="C832" s="437"/>
      <c r="D832" s="437"/>
      <c r="E832" s="237"/>
      <c r="F832" s="237"/>
      <c r="G832" s="237"/>
      <c r="H832" s="237"/>
      <c r="I832" s="22"/>
      <c r="J832" s="22"/>
      <c r="K832" s="22"/>
      <c r="L832" s="22"/>
      <c r="M832" s="22"/>
      <c r="N832" s="22"/>
    </row>
    <row r="833" spans="1:14">
      <c r="A833" s="437"/>
      <c r="B833" s="437"/>
      <c r="C833" s="437"/>
      <c r="D833" s="437"/>
      <c r="E833" s="459"/>
      <c r="F833" s="237"/>
      <c r="G833" s="237"/>
      <c r="H833" s="237"/>
      <c r="I833" s="22"/>
      <c r="J833" s="22"/>
      <c r="K833" s="22"/>
      <c r="L833" s="22"/>
      <c r="M833" s="22"/>
      <c r="N833" s="22"/>
    </row>
    <row r="834" spans="1:14">
      <c r="A834" s="437"/>
      <c r="B834" s="437"/>
      <c r="C834" s="437"/>
      <c r="D834" s="437"/>
      <c r="E834" s="482"/>
      <c r="F834" s="237"/>
      <c r="G834" s="237"/>
      <c r="H834" s="237"/>
      <c r="I834" s="22"/>
      <c r="J834" s="22"/>
      <c r="K834" s="22"/>
      <c r="L834" s="22"/>
      <c r="M834" s="22"/>
      <c r="N834" s="22"/>
    </row>
    <row r="835" spans="1:14">
      <c r="A835" s="437"/>
      <c r="B835" s="437"/>
      <c r="C835" s="437"/>
      <c r="D835" s="437"/>
      <c r="E835" s="483"/>
      <c r="F835" s="237"/>
      <c r="G835" s="237"/>
      <c r="H835" s="237"/>
      <c r="I835" s="22"/>
      <c r="J835" s="22"/>
      <c r="K835" s="22"/>
      <c r="L835" s="22"/>
      <c r="M835" s="22"/>
      <c r="N835" s="22"/>
    </row>
    <row r="836" spans="1:14">
      <c r="A836" s="446"/>
      <c r="B836" s="446"/>
      <c r="C836" s="446"/>
      <c r="D836" s="446"/>
      <c r="E836" s="466"/>
      <c r="F836" s="237"/>
      <c r="G836" s="237"/>
      <c r="H836" s="237"/>
      <c r="I836" s="22"/>
      <c r="J836" s="22"/>
      <c r="K836" s="22"/>
      <c r="L836" s="22"/>
      <c r="M836" s="22"/>
      <c r="N836" s="22"/>
    </row>
    <row r="837" spans="1:14">
      <c r="A837" s="237"/>
      <c r="B837" s="237"/>
      <c r="C837" s="237"/>
      <c r="D837" s="237"/>
      <c r="E837" s="237"/>
      <c r="F837" s="237"/>
      <c r="G837" s="237"/>
      <c r="H837" s="237"/>
      <c r="I837" s="22"/>
      <c r="J837" s="22"/>
      <c r="K837" s="22"/>
      <c r="L837" s="22"/>
      <c r="M837" s="22"/>
      <c r="N837" s="22"/>
    </row>
    <row r="838" spans="1:14">
      <c r="A838" s="465"/>
      <c r="B838" s="237"/>
      <c r="C838" s="237"/>
      <c r="D838" s="237"/>
      <c r="E838" s="237"/>
      <c r="F838" s="237"/>
      <c r="G838" s="237"/>
      <c r="H838" s="237"/>
      <c r="I838" s="22"/>
      <c r="J838" s="22"/>
      <c r="K838" s="22"/>
      <c r="L838" s="22"/>
      <c r="M838" s="22"/>
      <c r="N838" s="22"/>
    </row>
    <row r="839" spans="1:14">
      <c r="A839" s="437"/>
      <c r="B839" s="437"/>
      <c r="C839" s="437"/>
      <c r="D839" s="437"/>
      <c r="E839" s="237"/>
      <c r="F839" s="237"/>
      <c r="G839" s="237"/>
      <c r="H839" s="237"/>
      <c r="I839" s="22"/>
      <c r="J839" s="22"/>
      <c r="K839" s="22"/>
      <c r="L839" s="22"/>
      <c r="M839" s="22"/>
      <c r="N839" s="22"/>
    </row>
    <row r="840" spans="1:14">
      <c r="A840" s="437"/>
      <c r="B840" s="437"/>
      <c r="C840" s="437"/>
      <c r="D840" s="437"/>
      <c r="E840" s="459"/>
      <c r="F840" s="237"/>
      <c r="G840" s="237"/>
      <c r="H840" s="237"/>
      <c r="I840" s="22"/>
      <c r="J840" s="22"/>
      <c r="K840" s="22"/>
      <c r="L840" s="22"/>
      <c r="M840" s="22"/>
      <c r="N840" s="22"/>
    </row>
    <row r="841" spans="1:14">
      <c r="A841" s="437"/>
      <c r="B841" s="437"/>
      <c r="C841" s="437"/>
      <c r="D841" s="437"/>
      <c r="E841" s="464"/>
      <c r="F841" s="237"/>
      <c r="G841" s="237"/>
      <c r="H841" s="237"/>
      <c r="I841" s="22"/>
      <c r="J841" s="22"/>
      <c r="K841" s="22"/>
      <c r="L841" s="22"/>
      <c r="M841" s="22"/>
      <c r="N841" s="22"/>
    </row>
    <row r="842" spans="1:14">
      <c r="A842" s="437"/>
      <c r="B842" s="437"/>
      <c r="C842" s="437"/>
      <c r="D842" s="437"/>
      <c r="E842" s="484"/>
      <c r="F842" s="237"/>
      <c r="G842" s="237"/>
      <c r="H842" s="237"/>
      <c r="I842" s="22"/>
      <c r="J842" s="22"/>
      <c r="K842" s="22"/>
      <c r="L842" s="22"/>
      <c r="M842" s="22"/>
      <c r="N842" s="22"/>
    </row>
    <row r="843" spans="1:14">
      <c r="A843" s="446"/>
      <c r="B843" s="446"/>
      <c r="C843" s="446"/>
      <c r="D843" s="446"/>
      <c r="E843" s="466"/>
      <c r="F843" s="237"/>
      <c r="G843" s="237"/>
      <c r="H843" s="237"/>
      <c r="I843" s="22"/>
      <c r="J843" s="22"/>
      <c r="K843" s="22"/>
      <c r="L843" s="22"/>
      <c r="M843" s="22"/>
      <c r="N843" s="22"/>
    </row>
    <row r="844" spans="1:14">
      <c r="A844" s="237"/>
      <c r="B844" s="237"/>
      <c r="C844" s="237"/>
      <c r="D844" s="237"/>
      <c r="E844" s="237"/>
      <c r="F844" s="237"/>
      <c r="G844" s="237"/>
      <c r="H844" s="237"/>
      <c r="I844" s="22"/>
      <c r="J844" s="22"/>
      <c r="K844" s="22"/>
      <c r="L844" s="22"/>
      <c r="M844" s="22"/>
      <c r="N844" s="22"/>
    </row>
    <row r="845" spans="1:14">
      <c r="A845" s="465"/>
      <c r="B845" s="237"/>
      <c r="C845" s="237"/>
      <c r="D845" s="237"/>
      <c r="E845" s="237"/>
      <c r="F845" s="237"/>
      <c r="G845" s="237"/>
      <c r="H845" s="237"/>
      <c r="I845" s="22"/>
      <c r="J845" s="22"/>
      <c r="K845" s="22"/>
      <c r="L845" s="22"/>
      <c r="M845" s="22"/>
      <c r="N845" s="22"/>
    </row>
    <row r="846" spans="1:14">
      <c r="A846" s="437"/>
      <c r="B846" s="437"/>
      <c r="C846" s="437"/>
      <c r="D846" s="437"/>
      <c r="E846" s="459"/>
      <c r="F846" s="237"/>
      <c r="G846" s="237"/>
      <c r="H846" s="237"/>
      <c r="I846" s="22"/>
      <c r="J846" s="22"/>
      <c r="K846" s="22"/>
      <c r="L846" s="22"/>
      <c r="M846" s="22"/>
      <c r="N846" s="22"/>
    </row>
    <row r="847" spans="1:14">
      <c r="A847" s="437"/>
      <c r="B847" s="437"/>
      <c r="C847" s="437"/>
      <c r="D847" s="437"/>
      <c r="E847" s="464"/>
      <c r="F847" s="237"/>
      <c r="G847" s="237"/>
      <c r="H847" s="237"/>
      <c r="I847" s="22"/>
      <c r="J847" s="22"/>
      <c r="K847" s="22"/>
      <c r="L847" s="22"/>
      <c r="M847" s="22"/>
      <c r="N847" s="22"/>
    </row>
    <row r="848" spans="1:14">
      <c r="A848" s="437"/>
      <c r="B848" s="437"/>
      <c r="C848" s="437"/>
      <c r="D848" s="437"/>
      <c r="E848" s="485"/>
      <c r="F848" s="237"/>
      <c r="G848" s="237"/>
      <c r="H848" s="237"/>
      <c r="I848" s="22"/>
      <c r="J848" s="22"/>
      <c r="K848" s="22"/>
      <c r="L848" s="22"/>
      <c r="M848" s="22"/>
      <c r="N848" s="22"/>
    </row>
    <row r="849" spans="1:14">
      <c r="A849" s="446"/>
      <c r="B849" s="446"/>
      <c r="C849" s="446"/>
      <c r="D849" s="446"/>
      <c r="E849" s="486"/>
      <c r="F849" s="237"/>
      <c r="G849" s="237"/>
      <c r="H849" s="237"/>
      <c r="I849" s="22"/>
      <c r="J849" s="22"/>
      <c r="K849" s="22"/>
      <c r="L849" s="22"/>
      <c r="M849" s="22"/>
      <c r="N849" s="22"/>
    </row>
    <row r="850" spans="1:14">
      <c r="A850" s="237"/>
      <c r="B850" s="237"/>
      <c r="C850" s="237"/>
      <c r="D850" s="237"/>
      <c r="E850" s="237"/>
      <c r="F850" s="237"/>
      <c r="G850" s="237"/>
      <c r="H850" s="237"/>
      <c r="I850" s="22"/>
      <c r="J850" s="22"/>
      <c r="K850" s="22"/>
      <c r="L850" s="22"/>
      <c r="M850" s="22"/>
      <c r="N850" s="22"/>
    </row>
    <row r="851" spans="1:14">
      <c r="A851" s="237"/>
      <c r="B851" s="237"/>
      <c r="C851" s="237"/>
      <c r="D851" s="237"/>
      <c r="E851" s="237"/>
      <c r="F851" s="237"/>
      <c r="G851" s="237"/>
      <c r="H851" s="237"/>
      <c r="I851" s="22"/>
      <c r="J851" s="22"/>
      <c r="K851" s="22"/>
      <c r="L851" s="22"/>
      <c r="M851" s="22"/>
      <c r="N851" s="22"/>
    </row>
    <row r="852" spans="1:14" ht="22.5" customHeight="1">
      <c r="A852" s="502"/>
      <c r="B852" s="502"/>
      <c r="C852" s="503"/>
      <c r="D852" s="503"/>
      <c r="E852" s="237"/>
      <c r="F852" s="237"/>
      <c r="G852" s="237"/>
      <c r="H852" s="237"/>
      <c r="I852" s="22"/>
      <c r="J852" s="22"/>
      <c r="K852" s="22"/>
      <c r="L852" s="22"/>
      <c r="M852" s="22"/>
      <c r="N852" s="22"/>
    </row>
    <row r="853" spans="1:14">
      <c r="A853" s="504"/>
      <c r="B853" s="504"/>
      <c r="C853" s="505"/>
      <c r="D853" s="506"/>
      <c r="E853" s="237"/>
      <c r="F853" s="237"/>
      <c r="G853" s="237"/>
      <c r="H853" s="237"/>
      <c r="I853" s="22"/>
      <c r="J853" s="22"/>
      <c r="K853" s="22"/>
      <c r="L853" s="22"/>
      <c r="M853" s="22"/>
      <c r="N853" s="22"/>
    </row>
    <row r="854" spans="1:14">
      <c r="A854" s="507"/>
      <c r="B854" s="507"/>
      <c r="C854" s="505"/>
      <c r="D854" s="506"/>
      <c r="E854" s="237"/>
      <c r="F854" s="237"/>
      <c r="G854" s="237"/>
      <c r="H854" s="237"/>
      <c r="I854" s="22"/>
      <c r="J854" s="22"/>
      <c r="K854" s="22"/>
      <c r="L854" s="22"/>
      <c r="M854" s="22"/>
      <c r="N854" s="22"/>
    </row>
    <row r="855" spans="1:14">
      <c r="A855" s="507"/>
      <c r="B855" s="507"/>
      <c r="C855" s="505"/>
      <c r="D855" s="506"/>
      <c r="E855" s="237"/>
      <c r="F855" s="237"/>
      <c r="G855" s="237"/>
      <c r="H855" s="237"/>
      <c r="I855" s="22"/>
      <c r="J855" s="22"/>
      <c r="K855" s="22"/>
      <c r="L855" s="22"/>
      <c r="M855" s="22"/>
      <c r="N855" s="22"/>
    </row>
    <row r="856" spans="1:14">
      <c r="A856" s="507"/>
      <c r="B856" s="507"/>
      <c r="C856" s="508"/>
      <c r="D856" s="509"/>
      <c r="E856" s="237"/>
      <c r="F856" s="237"/>
      <c r="G856" s="237"/>
      <c r="H856" s="237"/>
      <c r="I856" s="22"/>
      <c r="J856" s="22"/>
      <c r="K856" s="22"/>
      <c r="L856" s="22"/>
      <c r="M856" s="22"/>
      <c r="N856" s="22"/>
    </row>
    <row r="857" spans="1:14">
      <c r="A857" s="237"/>
      <c r="B857" s="237"/>
      <c r="C857" s="237"/>
      <c r="D857" s="237"/>
      <c r="E857" s="237"/>
      <c r="F857" s="237"/>
      <c r="G857" s="237"/>
      <c r="H857" s="237"/>
      <c r="I857" s="22"/>
      <c r="J857" s="22"/>
      <c r="K857" s="22"/>
      <c r="L857" s="22"/>
      <c r="M857" s="22"/>
      <c r="N857" s="22"/>
    </row>
    <row r="858" spans="1:14">
      <c r="A858" s="237"/>
      <c r="B858" s="237"/>
      <c r="C858" s="237"/>
      <c r="D858" s="237"/>
      <c r="E858" s="237"/>
      <c r="F858" s="237"/>
      <c r="G858" s="237"/>
      <c r="H858" s="237"/>
      <c r="I858" s="22"/>
      <c r="J858" s="22"/>
      <c r="K858" s="22"/>
      <c r="L858" s="22"/>
      <c r="M858" s="22"/>
      <c r="N858" s="22"/>
    </row>
    <row r="859" spans="1:14">
      <c r="A859" s="237"/>
      <c r="B859" s="237"/>
      <c r="C859" s="237"/>
      <c r="D859" s="237"/>
      <c r="E859" s="237"/>
      <c r="F859" s="237"/>
      <c r="G859" s="237"/>
      <c r="H859" s="237"/>
      <c r="I859" s="22"/>
      <c r="J859" s="22"/>
      <c r="K859" s="22"/>
      <c r="L859" s="22"/>
      <c r="M859" s="22"/>
      <c r="N859" s="22"/>
    </row>
    <row r="860" spans="1:14">
      <c r="A860" s="237"/>
      <c r="B860" s="237"/>
      <c r="C860" s="237"/>
      <c r="D860" s="237"/>
      <c r="E860" s="237"/>
      <c r="F860" s="237"/>
      <c r="G860" s="237"/>
      <c r="H860" s="237"/>
      <c r="I860" s="22"/>
      <c r="J860" s="22"/>
      <c r="K860" s="22"/>
      <c r="L860" s="22"/>
      <c r="M860" s="22"/>
      <c r="N860" s="22"/>
    </row>
    <row r="861" spans="1:14">
      <c r="A861" s="237"/>
      <c r="B861" s="237"/>
      <c r="C861" s="237"/>
      <c r="D861" s="237"/>
      <c r="E861" s="237"/>
      <c r="F861" s="237"/>
      <c r="G861" s="237"/>
      <c r="H861" s="237"/>
      <c r="I861" s="22"/>
      <c r="J861" s="22"/>
      <c r="K861" s="22"/>
      <c r="L861" s="22"/>
      <c r="M861" s="22"/>
      <c r="N861" s="22"/>
    </row>
    <row r="862" spans="1:14">
      <c r="A862" s="237"/>
      <c r="B862" s="237"/>
      <c r="C862" s="237"/>
      <c r="D862" s="237"/>
      <c r="E862" s="237"/>
      <c r="F862" s="237"/>
      <c r="G862" s="237"/>
      <c r="H862" s="237"/>
      <c r="I862" s="22"/>
      <c r="J862" s="22"/>
      <c r="K862" s="22"/>
      <c r="L862" s="22"/>
      <c r="M862" s="22"/>
      <c r="N862" s="22"/>
    </row>
    <row r="863" spans="1:14">
      <c r="A863" s="237"/>
      <c r="B863" s="237"/>
      <c r="C863" s="237"/>
      <c r="D863" s="237"/>
      <c r="E863" s="237"/>
      <c r="F863" s="237"/>
      <c r="G863" s="237"/>
      <c r="H863" s="237"/>
      <c r="I863" s="22"/>
      <c r="J863" s="22"/>
      <c r="K863" s="22"/>
      <c r="L863" s="22"/>
      <c r="M863" s="22"/>
      <c r="N863" s="22"/>
    </row>
    <row r="864" spans="1:14">
      <c r="A864" s="237"/>
      <c r="B864" s="237"/>
      <c r="C864" s="237"/>
      <c r="D864" s="237"/>
      <c r="E864" s="237"/>
      <c r="F864" s="237"/>
      <c r="G864" s="237"/>
      <c r="H864" s="237"/>
      <c r="I864" s="22"/>
      <c r="J864" s="22"/>
      <c r="K864" s="22"/>
      <c r="L864" s="22"/>
      <c r="M864" s="22"/>
      <c r="N864" s="22"/>
    </row>
    <row r="865" spans="1:14">
      <c r="A865" s="237"/>
      <c r="B865" s="237"/>
      <c r="C865" s="237"/>
      <c r="D865" s="237"/>
      <c r="E865" s="237"/>
      <c r="F865" s="237"/>
      <c r="G865" s="237"/>
      <c r="H865" s="237"/>
      <c r="I865" s="22"/>
      <c r="J865" s="22"/>
      <c r="K865" s="22"/>
      <c r="L865" s="22"/>
      <c r="M865" s="22"/>
      <c r="N865" s="22"/>
    </row>
    <row r="866" spans="1:14">
      <c r="A866" s="237"/>
      <c r="B866" s="237"/>
      <c r="C866" s="237"/>
      <c r="D866" s="237"/>
      <c r="E866" s="237"/>
      <c r="F866" s="237"/>
      <c r="G866" s="237"/>
      <c r="H866" s="237"/>
      <c r="I866" s="22"/>
      <c r="J866" s="22"/>
      <c r="K866" s="22"/>
      <c r="L866" s="22"/>
      <c r="M866" s="22"/>
      <c r="N866" s="22"/>
    </row>
    <row r="867" spans="1:14">
      <c r="A867" s="237"/>
      <c r="B867" s="237"/>
      <c r="C867" s="237"/>
      <c r="D867" s="237"/>
      <c r="E867" s="237"/>
      <c r="F867" s="237"/>
      <c r="G867" s="237"/>
      <c r="H867" s="237"/>
      <c r="I867" s="22"/>
      <c r="J867" s="22"/>
      <c r="K867" s="22"/>
      <c r="L867" s="22"/>
      <c r="M867" s="22"/>
      <c r="N867" s="22"/>
    </row>
    <row r="868" spans="1:14">
      <c r="A868" s="237"/>
      <c r="B868" s="237"/>
      <c r="C868" s="237"/>
      <c r="D868" s="237"/>
      <c r="E868" s="237"/>
      <c r="F868" s="237"/>
      <c r="G868" s="237"/>
      <c r="H868" s="237"/>
      <c r="I868" s="22"/>
      <c r="J868" s="22"/>
      <c r="K868" s="22"/>
      <c r="L868" s="22"/>
      <c r="M868" s="22"/>
      <c r="N868" s="22"/>
    </row>
    <row r="869" spans="1:14">
      <c r="A869" s="237"/>
      <c r="B869" s="237"/>
      <c r="C869" s="237"/>
      <c r="D869" s="237"/>
      <c r="E869" s="237"/>
      <c r="F869" s="237"/>
      <c r="G869" s="237"/>
      <c r="H869" s="237"/>
      <c r="I869" s="22"/>
      <c r="J869" s="22"/>
      <c r="K869" s="22"/>
      <c r="L869" s="22"/>
      <c r="M869" s="22"/>
      <c r="N869" s="22"/>
    </row>
    <row r="870" spans="1:14">
      <c r="A870" s="237"/>
      <c r="B870" s="237"/>
      <c r="C870" s="237"/>
      <c r="D870" s="237"/>
      <c r="E870" s="237"/>
      <c r="F870" s="237"/>
      <c r="G870" s="237"/>
      <c r="H870" s="237"/>
      <c r="I870" s="22"/>
      <c r="J870" s="22"/>
      <c r="K870" s="22"/>
      <c r="L870" s="22"/>
      <c r="M870" s="22"/>
      <c r="N870" s="22"/>
    </row>
    <row r="871" spans="1:14">
      <c r="A871" s="237"/>
      <c r="B871" s="237"/>
      <c r="C871" s="237"/>
      <c r="D871" s="237"/>
      <c r="E871" s="237"/>
      <c r="F871" s="237"/>
      <c r="G871" s="237"/>
      <c r="H871" s="237"/>
      <c r="I871" s="22"/>
      <c r="J871" s="22"/>
      <c r="K871" s="22"/>
      <c r="L871" s="22"/>
      <c r="M871" s="22"/>
      <c r="N871" s="22"/>
    </row>
    <row r="872" spans="1:14">
      <c r="A872" s="237"/>
      <c r="B872" s="237"/>
      <c r="C872" s="237"/>
      <c r="D872" s="237"/>
      <c r="E872" s="237"/>
      <c r="F872" s="237"/>
      <c r="G872" s="237"/>
      <c r="H872" s="237"/>
      <c r="I872" s="22"/>
      <c r="J872" s="22"/>
      <c r="K872" s="22"/>
      <c r="L872" s="22"/>
      <c r="M872" s="22"/>
      <c r="N872" s="22"/>
    </row>
    <row r="873" spans="1:14">
      <c r="A873" s="237"/>
      <c r="B873" s="237"/>
      <c r="C873" s="237"/>
      <c r="D873" s="237"/>
      <c r="E873" s="237"/>
      <c r="F873" s="237"/>
      <c r="G873" s="237"/>
      <c r="H873" s="237"/>
      <c r="I873" s="22"/>
      <c r="J873" s="22"/>
      <c r="K873" s="22"/>
      <c r="L873" s="22"/>
      <c r="M873" s="22"/>
      <c r="N873" s="22"/>
    </row>
    <row r="874" spans="1:14">
      <c r="A874" s="237"/>
      <c r="B874" s="237"/>
      <c r="C874" s="237"/>
      <c r="D874" s="237"/>
      <c r="E874" s="237"/>
      <c r="F874" s="237"/>
      <c r="G874" s="237"/>
      <c r="H874" s="237"/>
      <c r="I874" s="22"/>
      <c r="J874" s="22"/>
      <c r="K874" s="22"/>
      <c r="L874" s="22"/>
      <c r="M874" s="22"/>
      <c r="N874" s="22"/>
    </row>
    <row r="875" spans="1:14">
      <c r="A875" s="237"/>
      <c r="B875" s="237"/>
      <c r="C875" s="237"/>
      <c r="D875" s="237"/>
      <c r="E875" s="237"/>
      <c r="F875" s="237"/>
      <c r="G875" s="237"/>
      <c r="H875" s="237"/>
      <c r="I875" s="22"/>
      <c r="J875" s="22"/>
      <c r="K875" s="22"/>
      <c r="L875" s="22"/>
      <c r="M875" s="22"/>
      <c r="N875" s="22"/>
    </row>
    <row r="876" spans="1:14">
      <c r="A876" s="237"/>
      <c r="B876" s="237"/>
      <c r="C876" s="237"/>
      <c r="D876" s="237"/>
      <c r="E876" s="237"/>
      <c r="F876" s="237"/>
      <c r="G876" s="237"/>
      <c r="H876" s="237"/>
      <c r="I876" s="22"/>
      <c r="J876" s="22"/>
      <c r="K876" s="22"/>
      <c r="L876" s="22"/>
      <c r="M876" s="22"/>
      <c r="N876" s="22"/>
    </row>
    <row r="877" spans="1:14">
      <c r="A877" s="237"/>
      <c r="B877" s="237"/>
      <c r="C877" s="237"/>
      <c r="D877" s="237"/>
      <c r="E877" s="237"/>
      <c r="F877" s="237"/>
      <c r="G877" s="237"/>
      <c r="H877" s="237"/>
      <c r="I877" s="22"/>
      <c r="J877" s="22"/>
      <c r="K877" s="22"/>
      <c r="L877" s="22"/>
      <c r="M877" s="22"/>
      <c r="N877" s="22"/>
    </row>
    <row r="878" spans="1:14">
      <c r="A878" s="237"/>
      <c r="B878" s="237"/>
      <c r="C878" s="237"/>
      <c r="D878" s="237"/>
      <c r="E878" s="237"/>
      <c r="F878" s="237"/>
      <c r="G878" s="237"/>
      <c r="H878" s="237"/>
      <c r="I878" s="22"/>
      <c r="J878" s="22"/>
      <c r="K878" s="22"/>
      <c r="L878" s="22"/>
      <c r="M878" s="22"/>
      <c r="N878" s="22"/>
    </row>
    <row r="879" spans="1:14">
      <c r="A879" s="237"/>
      <c r="B879" s="237"/>
      <c r="C879" s="237"/>
      <c r="D879" s="237"/>
      <c r="E879" s="237"/>
      <c r="F879" s="237"/>
      <c r="G879" s="237"/>
      <c r="H879" s="237"/>
      <c r="I879" s="22"/>
      <c r="J879" s="22"/>
      <c r="K879" s="22"/>
      <c r="L879" s="22"/>
      <c r="M879" s="22"/>
      <c r="N879" s="22"/>
    </row>
    <row r="880" spans="1:14">
      <c r="A880" s="237"/>
      <c r="B880" s="237"/>
      <c r="C880" s="237"/>
      <c r="D880" s="237"/>
      <c r="E880" s="237"/>
      <c r="F880" s="237"/>
      <c r="G880" s="237"/>
      <c r="H880" s="237"/>
      <c r="I880" s="22"/>
      <c r="J880" s="22"/>
      <c r="K880" s="22"/>
      <c r="L880" s="22"/>
      <c r="M880" s="22"/>
      <c r="N880" s="22"/>
    </row>
    <row r="881" spans="1:14">
      <c r="A881" s="237"/>
      <c r="B881" s="237"/>
      <c r="C881" s="237"/>
      <c r="D881" s="237"/>
      <c r="E881" s="237"/>
      <c r="F881" s="237"/>
      <c r="G881" s="237"/>
      <c r="H881" s="237"/>
      <c r="I881" s="22"/>
      <c r="J881" s="22"/>
      <c r="K881" s="22"/>
      <c r="L881" s="22"/>
      <c r="M881" s="22"/>
      <c r="N881" s="22"/>
    </row>
    <row r="882" spans="1:14">
      <c r="A882" s="237"/>
      <c r="B882" s="237"/>
      <c r="C882" s="237"/>
      <c r="D882" s="237"/>
      <c r="E882" s="237"/>
      <c r="F882" s="237"/>
      <c r="G882" s="237"/>
      <c r="H882" s="237"/>
      <c r="I882" s="22"/>
      <c r="J882" s="22"/>
      <c r="K882" s="22"/>
      <c r="L882" s="22"/>
      <c r="M882" s="22"/>
      <c r="N882" s="22"/>
    </row>
    <row r="883" spans="1:14">
      <c r="A883" s="237"/>
      <c r="B883" s="237"/>
      <c r="C883" s="237"/>
      <c r="D883" s="237"/>
      <c r="E883" s="237"/>
      <c r="F883" s="237"/>
      <c r="G883" s="237"/>
      <c r="H883" s="237"/>
      <c r="I883" s="22"/>
      <c r="J883" s="22"/>
      <c r="K883" s="22"/>
      <c r="L883" s="22"/>
      <c r="M883" s="22"/>
      <c r="N883" s="22"/>
    </row>
    <row r="884" spans="1:14">
      <c r="A884" s="237"/>
      <c r="B884" s="237"/>
      <c r="C884" s="237"/>
      <c r="D884" s="237"/>
      <c r="E884" s="237"/>
      <c r="F884" s="237"/>
      <c r="G884" s="237"/>
      <c r="H884" s="237"/>
      <c r="I884" s="22"/>
      <c r="J884" s="22"/>
      <c r="K884" s="22"/>
      <c r="L884" s="22"/>
      <c r="M884" s="22"/>
      <c r="N884" s="22"/>
    </row>
    <row r="885" spans="1:14">
      <c r="A885" s="237"/>
      <c r="B885" s="237"/>
      <c r="C885" s="237"/>
      <c r="D885" s="237"/>
      <c r="E885" s="237"/>
      <c r="F885" s="237"/>
      <c r="G885" s="237"/>
      <c r="H885" s="237"/>
      <c r="I885" s="22"/>
      <c r="J885" s="22"/>
      <c r="K885" s="22"/>
      <c r="L885" s="22"/>
      <c r="M885" s="22"/>
      <c r="N885" s="22"/>
    </row>
    <row r="886" spans="1:14">
      <c r="A886" s="237"/>
      <c r="B886" s="237"/>
      <c r="C886" s="237"/>
      <c r="D886" s="237"/>
      <c r="E886" s="237"/>
      <c r="F886" s="237"/>
      <c r="G886" s="237"/>
      <c r="H886" s="237"/>
      <c r="I886" s="22"/>
      <c r="J886" s="22"/>
      <c r="K886" s="22"/>
      <c r="L886" s="22"/>
      <c r="M886" s="22"/>
      <c r="N886" s="22"/>
    </row>
    <row r="887" spans="1:14">
      <c r="A887" s="237"/>
      <c r="B887" s="237"/>
      <c r="C887" s="237"/>
      <c r="D887" s="237"/>
      <c r="E887" s="237"/>
      <c r="F887" s="237"/>
      <c r="G887" s="237"/>
      <c r="H887" s="237"/>
      <c r="I887" s="22"/>
      <c r="J887" s="22"/>
      <c r="K887" s="22"/>
      <c r="L887" s="22"/>
      <c r="M887" s="22"/>
      <c r="N887" s="22"/>
    </row>
    <row r="888" spans="1:14">
      <c r="A888" s="237"/>
      <c r="B888" s="237"/>
      <c r="C888" s="237"/>
      <c r="D888" s="237"/>
      <c r="E888" s="237"/>
      <c r="F888" s="237"/>
      <c r="G888" s="237"/>
      <c r="H888" s="237"/>
      <c r="I888" s="22"/>
      <c r="J888" s="22"/>
      <c r="K888" s="22"/>
      <c r="L888" s="22"/>
      <c r="M888" s="22"/>
      <c r="N888" s="22"/>
    </row>
    <row r="889" spans="1:14">
      <c r="A889" s="237"/>
      <c r="B889" s="237"/>
      <c r="C889" s="237"/>
      <c r="D889" s="237"/>
      <c r="E889" s="237"/>
      <c r="F889" s="237"/>
      <c r="G889" s="237"/>
      <c r="H889" s="237"/>
      <c r="I889" s="22"/>
      <c r="J889" s="22"/>
      <c r="K889" s="22"/>
      <c r="L889" s="22"/>
      <c r="M889" s="22"/>
      <c r="N889" s="22"/>
    </row>
    <row r="890" spans="1:14">
      <c r="A890" s="237"/>
      <c r="B890" s="237"/>
      <c r="C890" s="237"/>
      <c r="D890" s="237"/>
      <c r="E890" s="237"/>
      <c r="F890" s="237"/>
      <c r="G890" s="237"/>
      <c r="H890" s="237"/>
      <c r="I890" s="22"/>
      <c r="J890" s="22"/>
      <c r="K890" s="22"/>
      <c r="L890" s="22"/>
      <c r="M890" s="22"/>
      <c r="N890" s="22"/>
    </row>
    <row r="891" spans="1:14">
      <c r="A891" s="237"/>
      <c r="B891" s="237"/>
      <c r="C891" s="237"/>
      <c r="D891" s="237"/>
      <c r="E891" s="237"/>
      <c r="F891" s="237"/>
      <c r="G891" s="237"/>
      <c r="H891" s="237"/>
      <c r="I891" s="22"/>
      <c r="J891" s="22"/>
      <c r="K891" s="22"/>
      <c r="L891" s="22"/>
      <c r="M891" s="22"/>
      <c r="N891" s="22"/>
    </row>
    <row r="892" spans="1:14">
      <c r="A892" s="237"/>
      <c r="B892" s="237"/>
      <c r="C892" s="237"/>
      <c r="D892" s="237"/>
      <c r="E892" s="237"/>
      <c r="F892" s="237"/>
      <c r="G892" s="237"/>
      <c r="H892" s="237"/>
      <c r="I892" s="22"/>
      <c r="J892" s="22"/>
      <c r="K892" s="22"/>
      <c r="L892" s="22"/>
      <c r="M892" s="22"/>
      <c r="N892" s="22"/>
    </row>
    <row r="893" spans="1:14">
      <c r="A893" s="237"/>
      <c r="B893" s="237"/>
      <c r="C893" s="237"/>
      <c r="D893" s="237"/>
      <c r="E893" s="237"/>
      <c r="F893" s="237"/>
      <c r="G893" s="237"/>
      <c r="H893" s="237"/>
      <c r="I893" s="22"/>
      <c r="J893" s="22"/>
      <c r="K893" s="22"/>
      <c r="L893" s="22"/>
      <c r="M893" s="22"/>
      <c r="N893" s="22"/>
    </row>
    <row r="894" spans="1:14">
      <c r="A894" s="237"/>
      <c r="B894" s="237"/>
      <c r="C894" s="237"/>
      <c r="D894" s="237"/>
      <c r="E894" s="237"/>
      <c r="F894" s="237"/>
      <c r="G894" s="237"/>
      <c r="H894" s="237"/>
      <c r="I894" s="22"/>
      <c r="J894" s="22"/>
      <c r="K894" s="22"/>
      <c r="L894" s="22"/>
      <c r="M894" s="22"/>
      <c r="N894" s="22"/>
    </row>
    <row r="895" spans="1:14">
      <c r="A895" s="237"/>
      <c r="B895" s="237"/>
      <c r="C895" s="237"/>
      <c r="D895" s="237"/>
      <c r="E895" s="237"/>
      <c r="F895" s="237"/>
      <c r="G895" s="237"/>
      <c r="H895" s="237"/>
      <c r="I895" s="22"/>
      <c r="J895" s="22"/>
      <c r="K895" s="22"/>
      <c r="L895" s="22"/>
      <c r="M895" s="22"/>
      <c r="N895" s="22"/>
    </row>
    <row r="896" spans="1:14">
      <c r="A896" s="237"/>
      <c r="B896" s="237"/>
      <c r="C896" s="237"/>
      <c r="D896" s="237"/>
      <c r="E896" s="237"/>
      <c r="F896" s="237"/>
      <c r="G896" s="237"/>
      <c r="H896" s="237"/>
      <c r="I896" s="22"/>
      <c r="J896" s="22"/>
      <c r="K896" s="22"/>
      <c r="L896" s="22"/>
      <c r="M896" s="22"/>
      <c r="N896" s="22"/>
    </row>
    <row r="897" spans="1:14">
      <c r="A897" s="237"/>
      <c r="B897" s="237"/>
      <c r="C897" s="237"/>
      <c r="D897" s="237"/>
      <c r="E897" s="237"/>
      <c r="F897" s="237"/>
      <c r="G897" s="237"/>
      <c r="H897" s="237"/>
      <c r="I897" s="22"/>
      <c r="J897" s="22"/>
      <c r="K897" s="22"/>
      <c r="L897" s="22"/>
      <c r="M897" s="22"/>
      <c r="N897" s="22"/>
    </row>
    <row r="898" spans="1:14">
      <c r="A898" s="237"/>
      <c r="B898" s="237"/>
      <c r="C898" s="237"/>
      <c r="D898" s="237"/>
      <c r="E898" s="237"/>
      <c r="F898" s="237"/>
      <c r="G898" s="237"/>
      <c r="H898" s="237"/>
      <c r="I898" s="22"/>
      <c r="J898" s="22"/>
      <c r="K898" s="22"/>
      <c r="L898" s="22"/>
      <c r="M898" s="22"/>
      <c r="N898" s="22"/>
    </row>
    <row r="899" spans="1:14">
      <c r="A899" s="237"/>
      <c r="B899" s="237"/>
      <c r="C899" s="237"/>
      <c r="D899" s="237"/>
      <c r="E899" s="237"/>
      <c r="F899" s="237"/>
      <c r="G899" s="237"/>
      <c r="H899" s="237"/>
      <c r="I899" s="22"/>
      <c r="J899" s="22"/>
      <c r="K899" s="22"/>
      <c r="L899" s="22"/>
      <c r="M899" s="22"/>
      <c r="N899" s="22"/>
    </row>
    <row r="900" spans="1:14">
      <c r="A900" s="237"/>
      <c r="B900" s="237"/>
      <c r="C900" s="237"/>
      <c r="D900" s="237"/>
      <c r="E900" s="237"/>
      <c r="F900" s="237"/>
      <c r="G900" s="237"/>
      <c r="H900" s="237"/>
      <c r="I900" s="22"/>
      <c r="J900" s="22"/>
      <c r="K900" s="22"/>
      <c r="L900" s="22"/>
      <c r="M900" s="22"/>
      <c r="N900" s="22"/>
    </row>
    <row r="901" spans="1:14">
      <c r="A901" s="237"/>
      <c r="B901" s="237"/>
      <c r="C901" s="237"/>
      <c r="D901" s="237"/>
      <c r="E901" s="237"/>
      <c r="F901" s="237"/>
      <c r="G901" s="237"/>
      <c r="H901" s="237"/>
      <c r="I901" s="22"/>
      <c r="J901" s="22"/>
      <c r="K901" s="22"/>
      <c r="L901" s="22"/>
      <c r="M901" s="22"/>
      <c r="N901" s="22"/>
    </row>
    <row r="902" spans="1:14">
      <c r="A902" s="237"/>
      <c r="B902" s="237"/>
      <c r="C902" s="237"/>
      <c r="D902" s="237"/>
      <c r="E902" s="237"/>
      <c r="F902" s="237"/>
      <c r="G902" s="237"/>
      <c r="H902" s="237"/>
      <c r="I902" s="22"/>
      <c r="J902" s="22"/>
      <c r="K902" s="22"/>
      <c r="L902" s="22"/>
      <c r="M902" s="22"/>
      <c r="N902" s="22"/>
    </row>
    <row r="903" spans="1:14">
      <c r="A903" s="237"/>
      <c r="B903" s="237"/>
      <c r="C903" s="237"/>
      <c r="D903" s="237"/>
      <c r="E903" s="237"/>
      <c r="F903" s="237"/>
      <c r="G903" s="237"/>
      <c r="H903" s="237"/>
      <c r="I903" s="22"/>
      <c r="J903" s="22"/>
      <c r="K903" s="22"/>
      <c r="L903" s="22"/>
      <c r="M903" s="22"/>
      <c r="N903" s="22"/>
    </row>
    <row r="904" spans="1:14">
      <c r="A904" s="22"/>
      <c r="B904" s="22"/>
      <c r="C904" s="22"/>
      <c r="D904" s="22"/>
      <c r="E904" s="22"/>
      <c r="F904" s="22"/>
      <c r="G904" s="22"/>
      <c r="H904" s="22"/>
      <c r="I904" s="22"/>
      <c r="J904" s="22"/>
      <c r="K904" s="22"/>
      <c r="L904" s="22"/>
      <c r="M904" s="22"/>
      <c r="N904" s="22"/>
    </row>
    <row r="905" spans="1:14">
      <c r="A905" s="22"/>
      <c r="B905" s="22"/>
      <c r="C905" s="22"/>
      <c r="D905" s="22"/>
      <c r="E905" s="22"/>
      <c r="F905" s="22"/>
      <c r="G905" s="22"/>
      <c r="H905" s="22"/>
      <c r="I905" s="22"/>
      <c r="J905" s="22"/>
      <c r="K905" s="22"/>
      <c r="L905" s="22"/>
      <c r="M905" s="22"/>
      <c r="N905" s="22"/>
    </row>
    <row r="906" spans="1:14">
      <c r="A906" s="22"/>
      <c r="B906" s="22"/>
      <c r="C906" s="22"/>
      <c r="D906" s="22"/>
      <c r="E906" s="22"/>
      <c r="F906" s="22"/>
      <c r="G906" s="22"/>
      <c r="H906" s="22"/>
      <c r="I906" s="22"/>
      <c r="J906" s="22"/>
      <c r="K906" s="22"/>
      <c r="L906" s="22"/>
      <c r="M906" s="22"/>
      <c r="N906" s="22"/>
    </row>
    <row r="907" spans="1:14">
      <c r="A907" s="22"/>
      <c r="B907" s="22"/>
      <c r="C907" s="22"/>
      <c r="D907" s="22"/>
      <c r="E907" s="22"/>
      <c r="F907" s="22"/>
      <c r="G907" s="22"/>
      <c r="H907" s="22"/>
      <c r="I907" s="22"/>
      <c r="J907" s="22"/>
      <c r="K907" s="22"/>
      <c r="L907" s="22"/>
      <c r="M907" s="22"/>
      <c r="N907" s="22"/>
    </row>
    <row r="908" spans="1:14">
      <c r="A908" s="22"/>
      <c r="B908" s="22"/>
      <c r="C908" s="22"/>
      <c r="D908" s="22"/>
      <c r="E908" s="22"/>
      <c r="F908" s="22"/>
      <c r="G908" s="22"/>
      <c r="H908" s="22"/>
      <c r="I908" s="22"/>
      <c r="J908" s="22"/>
      <c r="K908" s="22"/>
      <c r="L908" s="22"/>
      <c r="M908" s="22"/>
      <c r="N908" s="22"/>
    </row>
    <row r="909" spans="1:14">
      <c r="A909" s="22"/>
      <c r="B909" s="22"/>
      <c r="C909" s="22"/>
      <c r="D909" s="22"/>
      <c r="E909" s="22"/>
      <c r="F909" s="22"/>
      <c r="G909" s="22"/>
      <c r="H909" s="22"/>
      <c r="I909" s="22"/>
      <c r="J909" s="22"/>
      <c r="K909" s="22"/>
      <c r="L909" s="22"/>
      <c r="M909" s="22"/>
      <c r="N909" s="22"/>
    </row>
    <row r="910" spans="1:14">
      <c r="A910" s="22"/>
      <c r="B910" s="22"/>
      <c r="C910" s="22"/>
      <c r="D910" s="22"/>
      <c r="E910" s="22"/>
      <c r="F910" s="22"/>
      <c r="G910" s="22"/>
      <c r="H910" s="22"/>
      <c r="I910" s="22"/>
      <c r="J910" s="22"/>
      <c r="K910" s="22"/>
      <c r="L910" s="22"/>
      <c r="M910" s="22"/>
      <c r="N910" s="22"/>
    </row>
    <row r="911" spans="1:14">
      <c r="A911" s="22"/>
      <c r="B911" s="22"/>
      <c r="C911" s="22"/>
      <c r="D911" s="22"/>
      <c r="E911" s="22"/>
      <c r="F911" s="22"/>
      <c r="G911" s="22"/>
      <c r="H911" s="22"/>
      <c r="I911" s="22"/>
      <c r="J911" s="22"/>
      <c r="K911" s="22"/>
      <c r="L911" s="22"/>
      <c r="M911" s="22"/>
      <c r="N911" s="22"/>
    </row>
    <row r="912" spans="1:14">
      <c r="A912" s="22"/>
      <c r="B912" s="22"/>
      <c r="C912" s="22"/>
      <c r="D912" s="22"/>
      <c r="E912" s="22"/>
      <c r="F912" s="22"/>
      <c r="G912" s="22"/>
      <c r="H912" s="22"/>
      <c r="I912" s="22"/>
      <c r="J912" s="22"/>
      <c r="K912" s="22"/>
      <c r="L912" s="22"/>
      <c r="M912" s="22"/>
      <c r="N912" s="22"/>
    </row>
    <row r="913" spans="1:14">
      <c r="A913" s="22"/>
      <c r="B913" s="22"/>
      <c r="C913" s="22"/>
      <c r="D913" s="22"/>
      <c r="E913" s="22"/>
      <c r="F913" s="22"/>
      <c r="G913" s="22"/>
      <c r="H913" s="22"/>
      <c r="I913" s="22"/>
      <c r="J913" s="22"/>
      <c r="K913" s="22"/>
      <c r="L913" s="22"/>
      <c r="M913" s="22"/>
      <c r="N913" s="22"/>
    </row>
    <row r="914" spans="1:14">
      <c r="A914" s="22"/>
      <c r="B914" s="22"/>
      <c r="C914" s="22"/>
      <c r="D914" s="22"/>
      <c r="E914" s="22"/>
      <c r="F914" s="22"/>
      <c r="G914" s="22"/>
      <c r="H914" s="22"/>
      <c r="I914" s="22"/>
      <c r="J914" s="22"/>
      <c r="K914" s="22"/>
      <c r="L914" s="22"/>
      <c r="M914" s="22"/>
      <c r="N914" s="22"/>
    </row>
    <row r="915" spans="1:14">
      <c r="A915" s="22"/>
      <c r="B915" s="22"/>
      <c r="C915" s="22"/>
      <c r="D915" s="22"/>
      <c r="E915" s="22"/>
      <c r="F915" s="22"/>
      <c r="G915" s="22"/>
      <c r="H915" s="22"/>
      <c r="I915" s="22"/>
      <c r="J915" s="22"/>
      <c r="K915" s="22"/>
      <c r="L915" s="22"/>
      <c r="M915" s="22"/>
      <c r="N915" s="22"/>
    </row>
    <row r="916" spans="1:14">
      <c r="A916" s="22"/>
      <c r="B916" s="22"/>
      <c r="C916" s="22"/>
      <c r="D916" s="22"/>
      <c r="E916" s="22"/>
      <c r="F916" s="22"/>
      <c r="G916" s="22"/>
      <c r="H916" s="22"/>
      <c r="I916" s="22"/>
      <c r="J916" s="22"/>
      <c r="K916" s="22"/>
      <c r="L916" s="22"/>
      <c r="M916" s="22"/>
      <c r="N916" s="22"/>
    </row>
    <row r="917" spans="1:14">
      <c r="A917" s="22"/>
      <c r="B917" s="22"/>
      <c r="C917" s="22"/>
      <c r="D917" s="22"/>
      <c r="E917" s="22"/>
      <c r="F917" s="22"/>
      <c r="G917" s="22"/>
      <c r="H917" s="22"/>
      <c r="I917" s="22"/>
      <c r="J917" s="22"/>
      <c r="K917" s="22"/>
      <c r="L917" s="22"/>
      <c r="M917" s="22"/>
      <c r="N917" s="22"/>
    </row>
    <row r="918" spans="1:14">
      <c r="A918" s="22"/>
      <c r="B918" s="22"/>
      <c r="C918" s="22"/>
      <c r="D918" s="22"/>
      <c r="E918" s="22"/>
      <c r="F918" s="22"/>
      <c r="G918" s="22"/>
      <c r="H918" s="22"/>
      <c r="I918" s="22"/>
      <c r="J918" s="22"/>
      <c r="K918" s="22"/>
      <c r="L918" s="22"/>
      <c r="M918" s="22"/>
      <c r="N918" s="22"/>
    </row>
    <row r="919" spans="1:14">
      <c r="A919" s="22"/>
      <c r="B919" s="22"/>
      <c r="C919" s="22"/>
      <c r="D919" s="22"/>
      <c r="E919" s="22"/>
      <c r="F919" s="22"/>
      <c r="G919" s="22"/>
      <c r="H919" s="22"/>
      <c r="I919" s="22"/>
      <c r="J919" s="22"/>
      <c r="K919" s="22"/>
      <c r="L919" s="22"/>
      <c r="M919" s="22"/>
      <c r="N919" s="22"/>
    </row>
    <row r="920" spans="1:14">
      <c r="A920" s="22"/>
      <c r="B920" s="22"/>
      <c r="C920" s="22"/>
      <c r="D920" s="22"/>
      <c r="E920" s="22"/>
      <c r="F920" s="22"/>
      <c r="G920" s="22"/>
      <c r="H920" s="22"/>
      <c r="I920" s="22"/>
      <c r="J920" s="22"/>
      <c r="K920" s="22"/>
      <c r="L920" s="22"/>
      <c r="M920" s="22"/>
      <c r="N920" s="22"/>
    </row>
    <row r="921" spans="1:14">
      <c r="A921" s="22"/>
      <c r="B921" s="22"/>
      <c r="C921" s="22"/>
      <c r="D921" s="22"/>
      <c r="E921" s="22"/>
      <c r="F921" s="22"/>
      <c r="G921" s="22"/>
      <c r="H921" s="22"/>
      <c r="I921" s="22"/>
      <c r="J921" s="22"/>
      <c r="K921" s="22"/>
      <c r="L921" s="22"/>
      <c r="M921" s="22"/>
      <c r="N921" s="22"/>
    </row>
    <row r="922" spans="1:14">
      <c r="A922" s="22"/>
      <c r="B922" s="22"/>
      <c r="C922" s="22"/>
      <c r="D922" s="22"/>
      <c r="E922" s="22"/>
      <c r="F922" s="22"/>
      <c r="G922" s="22"/>
      <c r="H922" s="22"/>
      <c r="I922" s="22"/>
      <c r="J922" s="22"/>
      <c r="K922" s="22"/>
      <c r="L922" s="22"/>
      <c r="M922" s="22"/>
      <c r="N922" s="22"/>
    </row>
    <row r="923" spans="1:14">
      <c r="A923" s="22"/>
      <c r="B923" s="22"/>
      <c r="C923" s="22"/>
      <c r="D923" s="22"/>
      <c r="E923" s="22"/>
      <c r="F923" s="22"/>
      <c r="G923" s="22"/>
      <c r="H923" s="22"/>
      <c r="I923" s="22"/>
      <c r="J923" s="22"/>
      <c r="K923" s="22"/>
      <c r="L923" s="22"/>
      <c r="M923" s="22"/>
      <c r="N923" s="22"/>
    </row>
    <row r="924" spans="1:14">
      <c r="A924" s="22"/>
      <c r="B924" s="22"/>
      <c r="C924" s="22"/>
      <c r="D924" s="22"/>
      <c r="E924" s="22"/>
      <c r="F924" s="22"/>
      <c r="G924" s="22"/>
      <c r="H924" s="22"/>
      <c r="I924" s="22"/>
      <c r="J924" s="22"/>
      <c r="K924" s="22"/>
      <c r="L924" s="22"/>
      <c r="M924" s="22"/>
      <c r="N924" s="22"/>
    </row>
    <row r="925" spans="1:14">
      <c r="A925" s="22"/>
      <c r="B925" s="22"/>
      <c r="C925" s="22"/>
      <c r="D925" s="22"/>
      <c r="E925" s="22"/>
      <c r="F925" s="22"/>
      <c r="G925" s="22"/>
      <c r="H925" s="22"/>
      <c r="I925" s="22"/>
      <c r="J925" s="22"/>
      <c r="K925" s="22"/>
      <c r="L925" s="22"/>
      <c r="M925" s="22"/>
      <c r="N925" s="22"/>
    </row>
    <row r="926" spans="1:14">
      <c r="A926" s="22"/>
      <c r="B926" s="22"/>
      <c r="C926" s="22"/>
      <c r="D926" s="22"/>
      <c r="E926" s="22"/>
      <c r="F926" s="22"/>
      <c r="G926" s="22"/>
      <c r="H926" s="22"/>
      <c r="I926" s="22"/>
      <c r="J926" s="22"/>
      <c r="K926" s="22"/>
      <c r="L926" s="22"/>
      <c r="M926" s="22"/>
      <c r="N926" s="22"/>
    </row>
    <row r="927" spans="1:14">
      <c r="A927" s="22"/>
      <c r="B927" s="22"/>
      <c r="C927" s="22"/>
      <c r="D927" s="22"/>
      <c r="E927" s="22"/>
      <c r="F927" s="22"/>
      <c r="G927" s="22"/>
      <c r="H927" s="22"/>
      <c r="I927" s="22"/>
      <c r="J927" s="22"/>
      <c r="K927" s="22"/>
      <c r="L927" s="22"/>
      <c r="M927" s="22"/>
      <c r="N927" s="22"/>
    </row>
    <row r="928" spans="1:14">
      <c r="A928" s="22"/>
      <c r="B928" s="22"/>
      <c r="C928" s="22"/>
      <c r="D928" s="22"/>
      <c r="E928" s="22"/>
      <c r="F928" s="22"/>
      <c r="G928" s="22"/>
      <c r="H928" s="22"/>
      <c r="I928" s="22"/>
      <c r="J928" s="22"/>
      <c r="K928" s="22"/>
      <c r="L928" s="22"/>
      <c r="M928" s="22"/>
      <c r="N928" s="22"/>
    </row>
    <row r="929" spans="1:14">
      <c r="A929" s="22"/>
      <c r="B929" s="22"/>
      <c r="C929" s="22"/>
      <c r="D929" s="22"/>
      <c r="E929" s="22"/>
      <c r="F929" s="22"/>
      <c r="G929" s="22"/>
      <c r="H929" s="22"/>
      <c r="I929" s="22"/>
      <c r="J929" s="22"/>
      <c r="K929" s="22"/>
      <c r="L929" s="22"/>
      <c r="M929" s="22"/>
      <c r="N929" s="22"/>
    </row>
    <row r="930" spans="1:14">
      <c r="A930" s="22"/>
      <c r="B930" s="22"/>
      <c r="C930" s="22"/>
      <c r="D930" s="22"/>
      <c r="E930" s="22"/>
      <c r="F930" s="22"/>
      <c r="G930" s="22"/>
      <c r="H930" s="22"/>
      <c r="I930" s="22"/>
      <c r="J930" s="22"/>
      <c r="K930" s="22"/>
      <c r="L930" s="22"/>
      <c r="M930" s="22"/>
      <c r="N930" s="22"/>
    </row>
    <row r="931" spans="1:14">
      <c r="A931" s="22"/>
      <c r="B931" s="22"/>
      <c r="C931" s="22"/>
      <c r="D931" s="22"/>
      <c r="E931" s="22"/>
      <c r="F931" s="22"/>
      <c r="G931" s="22"/>
      <c r="H931" s="22"/>
      <c r="I931" s="22"/>
      <c r="J931" s="22"/>
      <c r="K931" s="22"/>
      <c r="L931" s="22"/>
      <c r="M931" s="22"/>
      <c r="N931" s="22"/>
    </row>
    <row r="932" spans="1:14">
      <c r="A932" s="22"/>
      <c r="B932" s="22"/>
      <c r="C932" s="22"/>
      <c r="D932" s="22"/>
      <c r="E932" s="22"/>
      <c r="F932" s="22"/>
      <c r="G932" s="22"/>
      <c r="H932" s="22"/>
      <c r="I932" s="22"/>
      <c r="J932" s="22"/>
      <c r="K932" s="22"/>
      <c r="L932" s="22"/>
      <c r="M932" s="22"/>
      <c r="N932" s="22"/>
    </row>
    <row r="933" spans="1:14">
      <c r="A933" s="22"/>
      <c r="B933" s="22"/>
      <c r="C933" s="22"/>
      <c r="D933" s="22"/>
      <c r="E933" s="22"/>
      <c r="F933" s="22"/>
      <c r="G933" s="22"/>
      <c r="H933" s="22"/>
      <c r="I933" s="22"/>
      <c r="J933" s="22"/>
      <c r="K933" s="22"/>
      <c r="L933" s="22"/>
      <c r="M933" s="22"/>
      <c r="N933" s="22"/>
    </row>
    <row r="934" spans="1:14">
      <c r="A934" s="22"/>
      <c r="B934" s="22"/>
      <c r="C934" s="22"/>
      <c r="D934" s="22"/>
      <c r="E934" s="22"/>
      <c r="F934" s="22"/>
      <c r="G934" s="22"/>
      <c r="H934" s="22"/>
      <c r="I934" s="22"/>
      <c r="J934" s="22"/>
      <c r="K934" s="22"/>
      <c r="L934" s="22"/>
      <c r="M934" s="22"/>
      <c r="N934" s="22"/>
    </row>
    <row r="935" spans="1:14">
      <c r="A935" s="22"/>
      <c r="B935" s="22"/>
      <c r="C935" s="22"/>
      <c r="D935" s="22"/>
      <c r="E935" s="22"/>
      <c r="F935" s="22"/>
      <c r="G935" s="22"/>
      <c r="H935" s="22"/>
      <c r="I935" s="22"/>
      <c r="J935" s="22"/>
      <c r="K935" s="22"/>
      <c r="L935" s="22"/>
      <c r="M935" s="22"/>
      <c r="N935" s="22"/>
    </row>
    <row r="936" spans="1:14">
      <c r="A936" s="22"/>
      <c r="B936" s="22"/>
      <c r="C936" s="22"/>
      <c r="D936" s="22"/>
      <c r="E936" s="22"/>
      <c r="F936" s="22"/>
      <c r="G936" s="22"/>
      <c r="H936" s="22"/>
      <c r="I936" s="22"/>
      <c r="J936" s="22"/>
      <c r="K936" s="22"/>
      <c r="L936" s="22"/>
      <c r="M936" s="22"/>
      <c r="N936" s="22"/>
    </row>
    <row r="937" spans="1:14">
      <c r="A937" s="22"/>
      <c r="B937" s="22"/>
      <c r="C937" s="22"/>
      <c r="D937" s="22"/>
      <c r="E937" s="22"/>
      <c r="F937" s="22"/>
      <c r="G937" s="22"/>
      <c r="H937" s="22"/>
      <c r="I937" s="22"/>
      <c r="J937" s="22"/>
      <c r="K937" s="22"/>
      <c r="L937" s="22"/>
      <c r="M937" s="22"/>
      <c r="N937" s="22"/>
    </row>
    <row r="938" spans="1:14">
      <c r="A938" s="22"/>
      <c r="B938" s="22"/>
      <c r="C938" s="22"/>
      <c r="D938" s="22"/>
      <c r="E938" s="22"/>
      <c r="F938" s="22"/>
      <c r="G938" s="22"/>
      <c r="H938" s="22"/>
      <c r="I938" s="22"/>
      <c r="J938" s="22"/>
      <c r="K938" s="22"/>
      <c r="L938" s="22"/>
      <c r="M938" s="22"/>
      <c r="N938" s="22"/>
    </row>
    <row r="939" spans="1:14">
      <c r="A939" s="22"/>
      <c r="B939" s="22"/>
      <c r="C939" s="22"/>
      <c r="D939" s="22"/>
      <c r="E939" s="22"/>
      <c r="F939" s="22"/>
      <c r="G939" s="22"/>
      <c r="H939" s="22"/>
      <c r="I939" s="22"/>
      <c r="J939" s="22"/>
      <c r="K939" s="22"/>
      <c r="L939" s="22"/>
      <c r="M939" s="22"/>
      <c r="N939" s="22"/>
    </row>
    <row r="940" spans="1:14">
      <c r="A940" s="22"/>
      <c r="B940" s="22"/>
      <c r="C940" s="22"/>
      <c r="D940" s="22"/>
      <c r="E940" s="22"/>
      <c r="F940" s="22"/>
      <c r="G940" s="22"/>
      <c r="H940" s="22"/>
      <c r="I940" s="22"/>
      <c r="J940" s="22"/>
      <c r="K940" s="22"/>
      <c r="L940" s="22"/>
      <c r="M940" s="22"/>
      <c r="N940" s="22"/>
    </row>
    <row r="941" spans="1:14">
      <c r="A941" s="22"/>
      <c r="B941" s="22"/>
      <c r="C941" s="22"/>
      <c r="D941" s="22"/>
      <c r="E941" s="22"/>
      <c r="F941" s="22"/>
      <c r="G941" s="22"/>
      <c r="H941" s="22"/>
      <c r="I941" s="22"/>
      <c r="J941" s="22"/>
      <c r="K941" s="22"/>
      <c r="L941" s="22"/>
      <c r="M941" s="22"/>
      <c r="N941" s="22"/>
    </row>
    <row r="942" spans="1:14">
      <c r="A942" s="22"/>
      <c r="B942" s="22"/>
      <c r="C942" s="22"/>
      <c r="D942" s="22"/>
      <c r="E942" s="22"/>
      <c r="F942" s="22"/>
      <c r="G942" s="22"/>
      <c r="H942" s="22"/>
      <c r="I942" s="22"/>
      <c r="J942" s="22"/>
      <c r="K942" s="22"/>
      <c r="L942" s="22"/>
      <c r="M942" s="22"/>
      <c r="N942" s="22"/>
    </row>
    <row r="943" spans="1:14">
      <c r="A943" s="22"/>
      <c r="B943" s="22"/>
      <c r="C943" s="22"/>
      <c r="D943" s="22"/>
      <c r="E943" s="22"/>
      <c r="F943" s="22"/>
      <c r="G943" s="22"/>
      <c r="H943" s="22"/>
      <c r="I943" s="22"/>
      <c r="J943" s="22"/>
      <c r="K943" s="22"/>
      <c r="L943" s="22"/>
      <c r="M943" s="22"/>
      <c r="N943" s="22"/>
    </row>
    <row r="944" spans="1:14">
      <c r="A944" s="22"/>
      <c r="B944" s="22"/>
      <c r="C944" s="22"/>
      <c r="D944" s="22"/>
      <c r="E944" s="22"/>
      <c r="F944" s="22"/>
      <c r="G944" s="22"/>
      <c r="H944" s="22"/>
      <c r="I944" s="22"/>
      <c r="J944" s="22"/>
      <c r="K944" s="22"/>
      <c r="L944" s="22"/>
      <c r="M944" s="22"/>
      <c r="N944" s="22"/>
    </row>
    <row r="945" spans="1:14">
      <c r="A945" s="22"/>
      <c r="B945" s="22"/>
      <c r="C945" s="22"/>
      <c r="D945" s="22"/>
      <c r="E945" s="22"/>
      <c r="F945" s="22"/>
      <c r="G945" s="22"/>
      <c r="H945" s="22"/>
      <c r="I945" s="22"/>
      <c r="J945" s="22"/>
      <c r="K945" s="22"/>
      <c r="L945" s="22"/>
      <c r="M945" s="22"/>
      <c r="N945" s="22"/>
    </row>
    <row r="946" spans="1:14">
      <c r="A946" s="22"/>
      <c r="B946" s="22"/>
      <c r="C946" s="22"/>
      <c r="D946" s="22"/>
      <c r="E946" s="22"/>
      <c r="F946" s="22"/>
      <c r="G946" s="22"/>
      <c r="H946" s="22"/>
      <c r="I946" s="22"/>
      <c r="J946" s="22"/>
      <c r="K946" s="22"/>
      <c r="L946" s="22"/>
      <c r="M946" s="22"/>
      <c r="N946" s="22"/>
    </row>
    <row r="947" spans="1:14">
      <c r="A947" s="22"/>
      <c r="B947" s="22"/>
      <c r="C947" s="22"/>
      <c r="D947" s="22"/>
      <c r="E947" s="22"/>
      <c r="F947" s="22"/>
      <c r="G947" s="22"/>
      <c r="H947" s="22"/>
      <c r="I947" s="22"/>
      <c r="J947" s="22"/>
      <c r="K947" s="22"/>
      <c r="L947" s="22"/>
      <c r="M947" s="22"/>
      <c r="N947" s="22"/>
    </row>
    <row r="948" spans="1:14">
      <c r="A948" s="22"/>
      <c r="B948" s="22"/>
      <c r="C948" s="22"/>
      <c r="D948" s="22"/>
      <c r="E948" s="22"/>
      <c r="F948" s="22"/>
      <c r="G948" s="22"/>
      <c r="H948" s="22"/>
      <c r="I948" s="22"/>
      <c r="J948" s="22"/>
      <c r="K948" s="22"/>
      <c r="L948" s="22"/>
      <c r="M948" s="22"/>
      <c r="N948" s="22"/>
    </row>
    <row r="949" spans="1:14">
      <c r="A949" s="22"/>
      <c r="B949" s="22"/>
      <c r="C949" s="22"/>
      <c r="D949" s="22"/>
      <c r="E949" s="22"/>
      <c r="F949" s="22"/>
      <c r="G949" s="22"/>
      <c r="H949" s="22"/>
      <c r="I949" s="22"/>
      <c r="J949" s="22"/>
      <c r="K949" s="22"/>
      <c r="L949" s="22"/>
      <c r="M949" s="22"/>
      <c r="N949" s="22"/>
    </row>
    <row r="950" spans="1:14">
      <c r="A950" s="22"/>
      <c r="B950" s="22"/>
      <c r="C950" s="22"/>
      <c r="D950" s="22"/>
      <c r="E950" s="22"/>
      <c r="F950" s="22"/>
      <c r="G950" s="22"/>
      <c r="H950" s="22"/>
      <c r="I950" s="22"/>
      <c r="J950" s="22"/>
      <c r="K950" s="22"/>
      <c r="L950" s="22"/>
      <c r="M950" s="22"/>
      <c r="N950" s="22"/>
    </row>
    <row r="951" spans="1:14">
      <c r="A951" s="22"/>
      <c r="B951" s="22"/>
      <c r="C951" s="22"/>
      <c r="D951" s="22"/>
      <c r="E951" s="22"/>
      <c r="F951" s="22"/>
      <c r="G951" s="22"/>
      <c r="H951" s="22"/>
      <c r="I951" s="22"/>
      <c r="J951" s="22"/>
      <c r="K951" s="22"/>
      <c r="L951" s="22"/>
      <c r="M951" s="22"/>
      <c r="N951" s="22"/>
    </row>
    <row r="952" spans="1:14">
      <c r="A952" s="22"/>
      <c r="B952" s="22"/>
      <c r="C952" s="22"/>
      <c r="D952" s="22"/>
      <c r="E952" s="22"/>
      <c r="F952" s="22"/>
      <c r="G952" s="22"/>
      <c r="H952" s="22"/>
      <c r="I952" s="22"/>
      <c r="J952" s="22"/>
      <c r="K952" s="22"/>
      <c r="L952" s="22"/>
      <c r="M952" s="22"/>
      <c r="N952" s="22"/>
    </row>
    <row r="953" spans="1:14">
      <c r="A953" s="22"/>
      <c r="B953" s="22"/>
      <c r="C953" s="22"/>
      <c r="D953" s="22"/>
      <c r="E953" s="22"/>
      <c r="F953" s="22"/>
      <c r="G953" s="22"/>
      <c r="H953" s="22"/>
      <c r="I953" s="22"/>
      <c r="J953" s="22"/>
      <c r="K953" s="22"/>
      <c r="L953" s="22"/>
      <c r="M953" s="22"/>
      <c r="N953" s="22"/>
    </row>
    <row r="954" spans="1:14">
      <c r="A954" s="22"/>
      <c r="B954" s="22"/>
      <c r="C954" s="22"/>
      <c r="D954" s="22"/>
      <c r="E954" s="22"/>
      <c r="F954" s="22"/>
      <c r="G954" s="22"/>
      <c r="H954" s="22"/>
      <c r="I954" s="22"/>
      <c r="J954" s="22"/>
      <c r="K954" s="22"/>
      <c r="L954" s="22"/>
      <c r="M954" s="22"/>
      <c r="N954" s="22"/>
    </row>
    <row r="955" spans="1:14">
      <c r="A955" s="22"/>
      <c r="B955" s="22"/>
      <c r="C955" s="22"/>
      <c r="D955" s="22"/>
      <c r="E955" s="22"/>
      <c r="F955" s="22"/>
      <c r="G955" s="22"/>
      <c r="H955" s="22"/>
      <c r="I955" s="22"/>
      <c r="J955" s="22"/>
      <c r="K955" s="22"/>
      <c r="L955" s="22"/>
      <c r="M955" s="22"/>
      <c r="N955" s="22"/>
    </row>
    <row r="956" spans="1:14">
      <c r="A956" s="22"/>
      <c r="B956" s="22"/>
      <c r="C956" s="22"/>
      <c r="D956" s="22"/>
      <c r="E956" s="22"/>
      <c r="F956" s="22"/>
      <c r="G956" s="22"/>
      <c r="H956" s="22"/>
      <c r="I956" s="22"/>
      <c r="J956" s="22"/>
      <c r="K956" s="22"/>
      <c r="L956" s="22"/>
      <c r="M956" s="22"/>
      <c r="N956" s="22"/>
    </row>
    <row r="957" spans="1:14">
      <c r="A957" s="22"/>
      <c r="B957" s="22"/>
      <c r="C957" s="22"/>
      <c r="D957" s="22"/>
      <c r="E957" s="22"/>
      <c r="F957" s="22"/>
      <c r="G957" s="22"/>
      <c r="H957" s="22"/>
      <c r="I957" s="22"/>
      <c r="J957" s="22"/>
      <c r="K957" s="22"/>
      <c r="L957" s="22"/>
      <c r="M957" s="22"/>
      <c r="N957" s="22"/>
    </row>
    <row r="958" spans="1:14">
      <c r="A958" s="22"/>
      <c r="B958" s="22"/>
      <c r="C958" s="22"/>
      <c r="D958" s="22"/>
      <c r="E958" s="22"/>
      <c r="F958" s="22"/>
      <c r="G958" s="22"/>
      <c r="H958" s="22"/>
      <c r="I958" s="22"/>
      <c r="J958" s="22"/>
      <c r="K958" s="22"/>
      <c r="L958" s="22"/>
      <c r="M958" s="22"/>
      <c r="N958" s="22"/>
    </row>
    <row r="959" spans="1:14">
      <c r="A959" s="22"/>
      <c r="B959" s="22"/>
      <c r="C959" s="22"/>
      <c r="D959" s="22"/>
      <c r="E959" s="22"/>
      <c r="F959" s="22"/>
      <c r="G959" s="22"/>
      <c r="H959" s="22"/>
      <c r="I959" s="22"/>
      <c r="J959" s="22"/>
      <c r="K959" s="22"/>
      <c r="L959" s="22"/>
      <c r="M959" s="22"/>
      <c r="N959" s="22"/>
    </row>
    <row r="960" spans="1:14">
      <c r="A960" s="22"/>
      <c r="B960" s="22"/>
      <c r="C960" s="22"/>
      <c r="D960" s="22"/>
      <c r="E960" s="22"/>
      <c r="F960" s="22"/>
      <c r="G960" s="22"/>
      <c r="H960" s="22"/>
      <c r="I960" s="22"/>
      <c r="J960" s="22"/>
      <c r="K960" s="22"/>
      <c r="L960" s="22"/>
      <c r="M960" s="22"/>
      <c r="N960" s="22"/>
    </row>
    <row r="961" spans="1:14">
      <c r="A961" s="22"/>
      <c r="B961" s="22"/>
      <c r="C961" s="22"/>
      <c r="D961" s="22"/>
      <c r="E961" s="22"/>
      <c r="F961" s="22"/>
      <c r="G961" s="22"/>
      <c r="H961" s="22"/>
      <c r="I961" s="22"/>
      <c r="J961" s="22"/>
      <c r="K961" s="22"/>
      <c r="L961" s="22"/>
      <c r="M961" s="22"/>
      <c r="N961" s="22"/>
    </row>
    <row r="962" spans="1:14">
      <c r="A962" s="22"/>
      <c r="B962" s="22"/>
      <c r="C962" s="22"/>
      <c r="D962" s="22"/>
      <c r="E962" s="22"/>
      <c r="F962" s="22"/>
      <c r="G962" s="22"/>
      <c r="H962" s="22"/>
      <c r="I962" s="22"/>
      <c r="J962" s="22"/>
      <c r="K962" s="22"/>
      <c r="L962" s="22"/>
      <c r="M962" s="22"/>
      <c r="N962" s="22"/>
    </row>
    <row r="963" spans="1:14">
      <c r="A963" s="22"/>
      <c r="B963" s="22"/>
      <c r="C963" s="22"/>
      <c r="D963" s="22"/>
      <c r="E963" s="22"/>
      <c r="F963" s="22"/>
      <c r="G963" s="22"/>
      <c r="H963" s="22"/>
      <c r="I963" s="22"/>
      <c r="J963" s="22"/>
      <c r="K963" s="22"/>
      <c r="L963" s="22"/>
      <c r="M963" s="22"/>
      <c r="N963" s="22"/>
    </row>
    <row r="964" spans="1:14">
      <c r="A964" s="22"/>
      <c r="B964" s="22"/>
      <c r="C964" s="22"/>
      <c r="D964" s="22"/>
      <c r="E964" s="22"/>
      <c r="F964" s="22"/>
      <c r="G964" s="22"/>
      <c r="H964" s="22"/>
      <c r="I964" s="22"/>
      <c r="J964" s="22"/>
      <c r="K964" s="22"/>
      <c r="L964" s="22"/>
      <c r="M964" s="22"/>
      <c r="N964" s="22"/>
    </row>
    <row r="965" spans="1:14">
      <c r="A965" s="22"/>
      <c r="B965" s="22"/>
      <c r="C965" s="22"/>
      <c r="D965" s="22"/>
      <c r="E965" s="22"/>
      <c r="F965" s="22"/>
      <c r="G965" s="22"/>
      <c r="H965" s="22"/>
      <c r="I965" s="22"/>
      <c r="J965" s="22"/>
      <c r="K965" s="22"/>
      <c r="L965" s="22"/>
      <c r="M965" s="22"/>
      <c r="N965" s="22"/>
    </row>
    <row r="966" spans="1:14">
      <c r="A966" s="22"/>
      <c r="B966" s="22"/>
      <c r="C966" s="22"/>
      <c r="D966" s="22"/>
      <c r="E966" s="22"/>
      <c r="F966" s="22"/>
      <c r="G966" s="22"/>
      <c r="H966" s="22"/>
      <c r="I966" s="22"/>
      <c r="J966" s="22"/>
      <c r="K966" s="22"/>
      <c r="L966" s="22"/>
      <c r="M966" s="22"/>
      <c r="N966" s="22"/>
    </row>
    <row r="967" spans="1:14">
      <c r="A967" s="22"/>
      <c r="B967" s="22"/>
      <c r="C967" s="22"/>
      <c r="D967" s="22"/>
      <c r="E967" s="22"/>
      <c r="F967" s="22"/>
      <c r="G967" s="22"/>
      <c r="H967" s="22"/>
      <c r="I967" s="22"/>
      <c r="J967" s="22"/>
      <c r="K967" s="22"/>
      <c r="L967" s="22"/>
      <c r="M967" s="22"/>
      <c r="N967" s="22"/>
    </row>
    <row r="968" spans="1:14">
      <c r="A968" s="22"/>
      <c r="B968" s="22"/>
      <c r="C968" s="22"/>
      <c r="D968" s="22"/>
      <c r="E968" s="22"/>
      <c r="F968" s="22"/>
      <c r="G968" s="22"/>
      <c r="H968" s="22"/>
      <c r="I968" s="22"/>
      <c r="J968" s="22"/>
      <c r="K968" s="22"/>
      <c r="L968" s="22"/>
      <c r="M968" s="22"/>
      <c r="N968" s="22"/>
    </row>
    <row r="969" spans="1:14">
      <c r="A969" s="22"/>
      <c r="B969" s="22"/>
      <c r="C969" s="22"/>
      <c r="D969" s="22"/>
      <c r="E969" s="22"/>
      <c r="F969" s="22"/>
      <c r="G969" s="22"/>
      <c r="H969" s="22"/>
      <c r="I969" s="22"/>
      <c r="J969" s="22"/>
      <c r="K969" s="22"/>
      <c r="L969" s="22"/>
      <c r="M969" s="22"/>
      <c r="N969" s="22"/>
    </row>
    <row r="970" spans="1:14">
      <c r="A970" s="22"/>
      <c r="B970" s="22"/>
      <c r="C970" s="22"/>
      <c r="D970" s="22"/>
      <c r="E970" s="22"/>
      <c r="F970" s="22"/>
      <c r="G970" s="22"/>
      <c r="H970" s="22"/>
      <c r="I970" s="22"/>
      <c r="J970" s="22"/>
      <c r="K970" s="22"/>
      <c r="L970" s="22"/>
      <c r="M970" s="22"/>
      <c r="N970" s="22"/>
    </row>
    <row r="971" spans="1:14">
      <c r="A971" s="22"/>
      <c r="B971" s="22"/>
      <c r="C971" s="22"/>
      <c r="D971" s="22"/>
      <c r="E971" s="22"/>
      <c r="F971" s="22"/>
      <c r="G971" s="22"/>
      <c r="H971" s="22"/>
      <c r="I971" s="22"/>
      <c r="J971" s="22"/>
      <c r="K971" s="22"/>
      <c r="L971" s="22"/>
      <c r="M971" s="22"/>
      <c r="N971" s="22"/>
    </row>
    <row r="972" spans="1:14">
      <c r="A972" s="22"/>
      <c r="B972" s="22"/>
      <c r="C972" s="22"/>
      <c r="D972" s="22"/>
      <c r="E972" s="22"/>
      <c r="F972" s="22"/>
      <c r="G972" s="22"/>
      <c r="H972" s="22"/>
      <c r="I972" s="22"/>
      <c r="J972" s="22"/>
      <c r="K972" s="22"/>
      <c r="L972" s="22"/>
      <c r="M972" s="22"/>
      <c r="N972" s="22"/>
    </row>
    <row r="973" spans="1:14">
      <c r="A973" s="22"/>
      <c r="B973" s="22"/>
      <c r="C973" s="22"/>
      <c r="D973" s="22"/>
      <c r="E973" s="22"/>
      <c r="F973" s="22"/>
      <c r="G973" s="22"/>
      <c r="H973" s="22"/>
      <c r="I973" s="22"/>
      <c r="J973" s="22"/>
      <c r="K973" s="22"/>
      <c r="L973" s="22"/>
      <c r="M973" s="22"/>
      <c r="N973" s="22"/>
    </row>
    <row r="974" spans="1:14">
      <c r="A974" s="22"/>
      <c r="B974" s="22"/>
      <c r="C974" s="22"/>
      <c r="D974" s="22"/>
      <c r="E974" s="22"/>
      <c r="F974" s="22"/>
      <c r="G974" s="22"/>
      <c r="H974" s="22"/>
      <c r="I974" s="22"/>
      <c r="J974" s="22"/>
      <c r="K974" s="22"/>
      <c r="L974" s="22"/>
      <c r="M974" s="22"/>
      <c r="N974" s="22"/>
    </row>
    <row r="975" spans="1:14">
      <c r="A975" s="22"/>
      <c r="B975" s="22"/>
      <c r="C975" s="22"/>
      <c r="D975" s="22"/>
      <c r="E975" s="22"/>
      <c r="F975" s="22"/>
      <c r="G975" s="22"/>
      <c r="H975" s="22"/>
      <c r="I975" s="22"/>
      <c r="J975" s="22"/>
      <c r="K975" s="22"/>
      <c r="L975" s="22"/>
      <c r="M975" s="22"/>
      <c r="N975" s="22"/>
    </row>
    <row r="976" spans="1:14">
      <c r="A976" s="22"/>
      <c r="B976" s="22"/>
      <c r="C976" s="22"/>
      <c r="D976" s="22"/>
      <c r="E976" s="22"/>
      <c r="F976" s="22"/>
      <c r="G976" s="22"/>
      <c r="H976" s="22"/>
      <c r="I976" s="22"/>
      <c r="J976" s="22"/>
      <c r="K976" s="22"/>
      <c r="L976" s="22"/>
      <c r="M976" s="22"/>
      <c r="N976" s="22"/>
    </row>
    <row r="977" spans="1:14">
      <c r="A977" s="22"/>
      <c r="B977" s="22"/>
      <c r="C977" s="22"/>
      <c r="D977" s="22"/>
      <c r="E977" s="22"/>
      <c r="F977" s="22"/>
      <c r="G977" s="22"/>
      <c r="H977" s="22"/>
      <c r="I977" s="22"/>
      <c r="J977" s="22"/>
      <c r="K977" s="22"/>
      <c r="L977" s="22"/>
      <c r="M977" s="22"/>
      <c r="N977" s="22"/>
    </row>
    <row r="978" spans="1:14">
      <c r="A978" s="22"/>
      <c r="B978" s="22"/>
      <c r="C978" s="22"/>
      <c r="D978" s="22"/>
      <c r="E978" s="22"/>
      <c r="F978" s="22"/>
      <c r="G978" s="22"/>
      <c r="H978" s="22"/>
      <c r="I978" s="22"/>
      <c r="J978" s="22"/>
      <c r="K978" s="22"/>
      <c r="L978" s="22"/>
      <c r="M978" s="22"/>
      <c r="N978" s="22"/>
    </row>
    <row r="979" spans="1:14">
      <c r="A979" s="22"/>
      <c r="B979" s="22"/>
      <c r="C979" s="22"/>
      <c r="D979" s="22"/>
      <c r="E979" s="22"/>
      <c r="F979" s="22"/>
      <c r="G979" s="22"/>
      <c r="H979" s="22"/>
      <c r="I979" s="22"/>
      <c r="J979" s="22"/>
      <c r="K979" s="22"/>
      <c r="L979" s="22"/>
      <c r="M979" s="22"/>
      <c r="N979" s="22"/>
    </row>
    <row r="980" spans="1:14">
      <c r="A980" s="22"/>
      <c r="B980" s="22"/>
      <c r="C980" s="22"/>
      <c r="D980" s="22"/>
      <c r="E980" s="22"/>
      <c r="F980" s="22"/>
      <c r="G980" s="22"/>
      <c r="H980" s="22"/>
      <c r="I980" s="22"/>
      <c r="J980" s="22"/>
      <c r="K980" s="22"/>
      <c r="L980" s="22"/>
      <c r="M980" s="22"/>
      <c r="N980" s="22"/>
    </row>
    <row r="981" spans="1:14">
      <c r="A981" s="22"/>
      <c r="B981" s="22"/>
      <c r="C981" s="22"/>
      <c r="D981" s="22"/>
      <c r="E981" s="22"/>
      <c r="F981" s="22"/>
      <c r="G981" s="22"/>
      <c r="H981" s="22"/>
      <c r="I981" s="22"/>
      <c r="J981" s="22"/>
      <c r="K981" s="22"/>
      <c r="L981" s="22"/>
      <c r="M981" s="22"/>
      <c r="N981" s="22"/>
    </row>
    <row r="982" spans="1:14">
      <c r="A982" s="22"/>
      <c r="B982" s="22"/>
      <c r="C982" s="22"/>
      <c r="D982" s="22"/>
      <c r="E982" s="22"/>
      <c r="F982" s="22"/>
      <c r="G982" s="22"/>
      <c r="H982" s="22"/>
      <c r="I982" s="22"/>
      <c r="J982" s="22"/>
      <c r="K982" s="22"/>
      <c r="L982" s="22"/>
      <c r="M982" s="22"/>
      <c r="N982" s="22"/>
    </row>
    <row r="983" spans="1:14">
      <c r="A983" s="22"/>
      <c r="B983" s="22"/>
      <c r="C983" s="22"/>
      <c r="D983" s="22"/>
      <c r="E983" s="22"/>
      <c r="F983" s="22"/>
      <c r="G983" s="22"/>
      <c r="H983" s="22"/>
      <c r="I983" s="22"/>
      <c r="J983" s="22"/>
      <c r="K983" s="22"/>
      <c r="L983" s="22"/>
      <c r="M983" s="22"/>
      <c r="N983" s="22"/>
    </row>
    <row r="984" spans="1:14">
      <c r="A984" s="22"/>
      <c r="B984" s="22"/>
      <c r="C984" s="22"/>
      <c r="D984" s="22"/>
      <c r="E984" s="22"/>
      <c r="F984" s="22"/>
      <c r="G984" s="22"/>
      <c r="H984" s="22"/>
      <c r="I984" s="22"/>
      <c r="J984" s="22"/>
      <c r="K984" s="22"/>
      <c r="L984" s="22"/>
      <c r="M984" s="22"/>
      <c r="N984" s="22"/>
    </row>
    <row r="985" spans="1:14">
      <c r="A985" s="22"/>
      <c r="B985" s="22"/>
      <c r="C985" s="22"/>
      <c r="D985" s="22"/>
      <c r="E985" s="22"/>
      <c r="F985" s="22"/>
      <c r="G985" s="22"/>
      <c r="H985" s="22"/>
      <c r="I985" s="22"/>
      <c r="J985" s="22"/>
      <c r="K985" s="22"/>
      <c r="L985" s="22"/>
      <c r="M985" s="22"/>
      <c r="N985" s="22"/>
    </row>
    <row r="986" spans="1:14">
      <c r="A986" s="22"/>
      <c r="B986" s="22"/>
      <c r="C986" s="22"/>
      <c r="D986" s="22"/>
      <c r="E986" s="22"/>
      <c r="F986" s="22"/>
      <c r="G986" s="22"/>
      <c r="H986" s="22"/>
      <c r="I986" s="22"/>
      <c r="J986" s="22"/>
      <c r="K986" s="22"/>
      <c r="L986" s="22"/>
      <c r="M986" s="22"/>
      <c r="N986" s="22"/>
    </row>
    <row r="987" spans="1:14">
      <c r="A987" s="22"/>
      <c r="B987" s="22"/>
      <c r="C987" s="22"/>
      <c r="D987" s="22"/>
      <c r="E987" s="22"/>
      <c r="F987" s="22"/>
      <c r="G987" s="22"/>
      <c r="H987" s="22"/>
      <c r="I987" s="22"/>
      <c r="J987" s="22"/>
      <c r="K987" s="22"/>
      <c r="L987" s="22"/>
      <c r="M987" s="22"/>
      <c r="N987" s="22"/>
    </row>
    <row r="988" spans="1:14">
      <c r="A988" s="22"/>
      <c r="B988" s="22"/>
      <c r="C988" s="22"/>
      <c r="D988" s="22"/>
      <c r="E988" s="22"/>
      <c r="F988" s="22"/>
      <c r="G988" s="22"/>
      <c r="H988" s="22"/>
      <c r="I988" s="22"/>
      <c r="J988" s="22"/>
      <c r="K988" s="22"/>
      <c r="L988" s="22"/>
      <c r="M988" s="22"/>
      <c r="N988" s="22"/>
    </row>
    <row r="989" spans="1:14">
      <c r="A989" s="22"/>
      <c r="B989" s="22"/>
      <c r="C989" s="22"/>
      <c r="D989" s="22"/>
      <c r="E989" s="22"/>
      <c r="F989" s="22"/>
      <c r="G989" s="22"/>
      <c r="H989" s="22"/>
      <c r="I989" s="22"/>
      <c r="J989" s="22"/>
      <c r="K989" s="22"/>
      <c r="L989" s="22"/>
      <c r="M989" s="22"/>
      <c r="N989" s="22"/>
    </row>
    <row r="990" spans="1:14">
      <c r="A990" s="22"/>
      <c r="B990" s="22"/>
      <c r="C990" s="22"/>
      <c r="D990" s="22"/>
      <c r="E990" s="22"/>
      <c r="F990" s="22"/>
      <c r="G990" s="22"/>
      <c r="H990" s="22"/>
      <c r="I990" s="22"/>
      <c r="J990" s="22"/>
      <c r="K990" s="22"/>
      <c r="L990" s="22"/>
      <c r="M990" s="22"/>
      <c r="N990" s="22"/>
    </row>
    <row r="991" spans="1:14">
      <c r="A991" s="22"/>
      <c r="B991" s="22"/>
      <c r="C991" s="22"/>
      <c r="D991" s="22"/>
      <c r="E991" s="22"/>
      <c r="F991" s="22"/>
      <c r="G991" s="22"/>
      <c r="H991" s="22"/>
      <c r="I991" s="22"/>
      <c r="J991" s="22"/>
      <c r="K991" s="22"/>
      <c r="L991" s="22"/>
      <c r="M991" s="22"/>
      <c r="N991" s="22"/>
    </row>
    <row r="992" spans="1:14">
      <c r="A992" s="22"/>
      <c r="B992" s="22"/>
      <c r="C992" s="22"/>
      <c r="D992" s="22"/>
      <c r="E992" s="22"/>
      <c r="F992" s="22"/>
      <c r="G992" s="22"/>
      <c r="H992" s="22"/>
      <c r="I992" s="22"/>
      <c r="J992" s="22"/>
      <c r="K992" s="22"/>
      <c r="L992" s="22"/>
      <c r="M992" s="22"/>
      <c r="N992" s="22"/>
    </row>
    <row r="993" spans="1:14">
      <c r="A993" s="22"/>
      <c r="B993" s="22"/>
      <c r="C993" s="22"/>
      <c r="D993" s="22"/>
      <c r="E993" s="22"/>
      <c r="F993" s="22"/>
      <c r="G993" s="22"/>
      <c r="H993" s="22"/>
      <c r="I993" s="22"/>
      <c r="J993" s="22"/>
      <c r="K993" s="22"/>
      <c r="L993" s="22"/>
      <c r="M993" s="22"/>
      <c r="N993" s="22"/>
    </row>
    <row r="994" spans="1:14">
      <c r="A994" s="22"/>
      <c r="B994" s="22"/>
      <c r="C994" s="22"/>
      <c r="D994" s="22"/>
      <c r="E994" s="22"/>
      <c r="F994" s="22"/>
      <c r="G994" s="22"/>
      <c r="H994" s="22"/>
      <c r="I994" s="22"/>
      <c r="J994" s="22"/>
      <c r="K994" s="22"/>
      <c r="L994" s="22"/>
      <c r="M994" s="22"/>
      <c r="N994" s="22"/>
    </row>
    <row r="995" spans="1:14">
      <c r="A995" s="22"/>
      <c r="B995" s="22"/>
      <c r="C995" s="22"/>
      <c r="D995" s="22"/>
      <c r="E995" s="22"/>
      <c r="F995" s="22"/>
      <c r="G995" s="22"/>
      <c r="H995" s="22"/>
      <c r="I995" s="22"/>
      <c r="J995" s="22"/>
      <c r="K995" s="22"/>
      <c r="L995" s="22"/>
      <c r="M995" s="22"/>
      <c r="N995" s="22"/>
    </row>
    <row r="996" spans="1:14">
      <c r="A996" s="22"/>
      <c r="B996" s="22"/>
      <c r="C996" s="22"/>
      <c r="D996" s="22"/>
      <c r="E996" s="22"/>
      <c r="F996" s="22"/>
      <c r="G996" s="22"/>
      <c r="H996" s="22"/>
      <c r="I996" s="22"/>
      <c r="J996" s="22"/>
      <c r="K996" s="22"/>
      <c r="L996" s="22"/>
      <c r="M996" s="22"/>
      <c r="N996" s="22"/>
    </row>
    <row r="997" spans="1:14">
      <c r="A997" s="22"/>
      <c r="B997" s="22"/>
      <c r="C997" s="22"/>
      <c r="D997" s="22"/>
      <c r="E997" s="22"/>
      <c r="F997" s="22"/>
      <c r="G997" s="22"/>
      <c r="H997" s="22"/>
      <c r="I997" s="22"/>
      <c r="J997" s="22"/>
      <c r="K997" s="22"/>
      <c r="L997" s="22"/>
      <c r="M997" s="22"/>
      <c r="N997" s="22"/>
    </row>
    <row r="998" spans="1:14">
      <c r="A998" s="22"/>
      <c r="B998" s="22"/>
      <c r="C998" s="22"/>
      <c r="D998" s="22"/>
      <c r="E998" s="22"/>
      <c r="F998" s="22"/>
      <c r="G998" s="22"/>
      <c r="H998" s="22"/>
      <c r="I998" s="22"/>
      <c r="J998" s="22"/>
      <c r="K998" s="22"/>
      <c r="L998" s="22"/>
      <c r="M998" s="22"/>
      <c r="N998" s="22"/>
    </row>
    <row r="999" spans="1:14">
      <c r="A999" s="22"/>
      <c r="B999" s="22"/>
      <c r="C999" s="22"/>
      <c r="D999" s="22"/>
      <c r="E999" s="22"/>
      <c r="F999" s="22"/>
      <c r="G999" s="22"/>
      <c r="H999" s="22"/>
      <c r="I999" s="22"/>
      <c r="J999" s="22"/>
      <c r="K999" s="22"/>
      <c r="L999" s="22"/>
      <c r="M999" s="22"/>
      <c r="N999" s="22"/>
    </row>
    <row r="1000" spans="1:14">
      <c r="A1000" s="22"/>
      <c r="B1000" s="22"/>
      <c r="C1000" s="22"/>
      <c r="D1000" s="22"/>
      <c r="E1000" s="22"/>
      <c r="F1000" s="22"/>
      <c r="G1000" s="22"/>
      <c r="H1000" s="22"/>
      <c r="I1000" s="22"/>
      <c r="J1000" s="22"/>
      <c r="K1000" s="22"/>
      <c r="L1000" s="22"/>
      <c r="M1000" s="22"/>
      <c r="N1000" s="22"/>
    </row>
    <row r="1001" spans="1:14">
      <c r="A1001" s="22"/>
      <c r="B1001" s="22"/>
      <c r="C1001" s="22"/>
      <c r="D1001" s="22"/>
      <c r="E1001" s="22"/>
      <c r="F1001" s="22"/>
      <c r="G1001" s="22"/>
      <c r="H1001" s="22"/>
      <c r="I1001" s="22"/>
      <c r="J1001" s="22"/>
      <c r="K1001" s="22"/>
      <c r="L1001" s="22"/>
      <c r="M1001" s="22"/>
      <c r="N1001" s="22"/>
    </row>
    <row r="1002" spans="1:14">
      <c r="A1002" s="22"/>
      <c r="B1002" s="22"/>
      <c r="C1002" s="22"/>
      <c r="D1002" s="22"/>
      <c r="E1002" s="22"/>
      <c r="F1002" s="22"/>
      <c r="G1002" s="22"/>
      <c r="H1002" s="22"/>
      <c r="I1002" s="22"/>
      <c r="J1002" s="22"/>
      <c r="K1002" s="22"/>
      <c r="L1002" s="22"/>
      <c r="M1002" s="22"/>
      <c r="N1002" s="22"/>
    </row>
    <row r="1003" spans="1:14">
      <c r="A1003" s="22"/>
      <c r="B1003" s="22"/>
      <c r="C1003" s="22"/>
      <c r="D1003" s="22"/>
      <c r="E1003" s="22"/>
      <c r="F1003" s="22"/>
      <c r="G1003" s="22"/>
      <c r="H1003" s="22"/>
      <c r="I1003" s="22"/>
      <c r="J1003" s="22"/>
      <c r="K1003" s="22"/>
      <c r="L1003" s="22"/>
      <c r="M1003" s="22"/>
      <c r="N1003" s="22"/>
    </row>
    <row r="1004" spans="1:14">
      <c r="A1004" s="22"/>
      <c r="B1004" s="22"/>
      <c r="C1004" s="22"/>
      <c r="D1004" s="22"/>
      <c r="E1004" s="22"/>
      <c r="F1004" s="22"/>
      <c r="G1004" s="22"/>
      <c r="H1004" s="22"/>
      <c r="I1004" s="22"/>
      <c r="J1004" s="22"/>
      <c r="K1004" s="22"/>
      <c r="L1004" s="22"/>
      <c r="M1004" s="22"/>
      <c r="N1004" s="22"/>
    </row>
    <row r="1005" spans="1:14">
      <c r="A1005" s="22"/>
      <c r="B1005" s="22"/>
      <c r="C1005" s="22"/>
      <c r="D1005" s="22"/>
      <c r="E1005" s="22"/>
      <c r="F1005" s="22"/>
      <c r="G1005" s="22"/>
      <c r="H1005" s="22"/>
      <c r="I1005" s="22"/>
      <c r="J1005" s="22"/>
      <c r="K1005" s="22"/>
      <c r="L1005" s="22"/>
      <c r="M1005" s="22"/>
      <c r="N1005" s="22"/>
    </row>
    <row r="1006" spans="1:14">
      <c r="A1006" s="22"/>
      <c r="B1006" s="22"/>
      <c r="C1006" s="22"/>
      <c r="D1006" s="22"/>
      <c r="E1006" s="22"/>
      <c r="F1006" s="22"/>
      <c r="G1006" s="22"/>
      <c r="H1006" s="22"/>
      <c r="I1006" s="22"/>
      <c r="J1006" s="22"/>
      <c r="K1006" s="22"/>
      <c r="L1006" s="22"/>
      <c r="M1006" s="22"/>
      <c r="N1006" s="22"/>
    </row>
    <row r="1007" spans="1:14">
      <c r="A1007" s="22"/>
      <c r="B1007" s="22"/>
      <c r="C1007" s="22"/>
      <c r="D1007" s="22"/>
      <c r="E1007" s="22"/>
      <c r="F1007" s="22"/>
      <c r="G1007" s="22"/>
      <c r="H1007" s="22"/>
      <c r="I1007" s="22"/>
      <c r="J1007" s="22"/>
      <c r="K1007" s="22"/>
      <c r="L1007" s="22"/>
      <c r="M1007" s="22"/>
      <c r="N1007" s="22"/>
    </row>
    <row r="1008" spans="1:14">
      <c r="A1008" s="22"/>
      <c r="B1008" s="22"/>
      <c r="C1008" s="22"/>
      <c r="D1008" s="22"/>
      <c r="E1008" s="22"/>
      <c r="F1008" s="22"/>
      <c r="G1008" s="22"/>
      <c r="H1008" s="22"/>
      <c r="I1008" s="22"/>
      <c r="J1008" s="22"/>
      <c r="K1008" s="22"/>
      <c r="L1008" s="22"/>
      <c r="M1008" s="22"/>
      <c r="N1008" s="22"/>
    </row>
    <row r="1009" spans="1:14">
      <c r="A1009" s="22"/>
      <c r="B1009" s="22"/>
      <c r="C1009" s="22"/>
      <c r="D1009" s="22"/>
      <c r="E1009" s="22"/>
      <c r="F1009" s="22"/>
      <c r="G1009" s="22"/>
      <c r="H1009" s="22"/>
      <c r="I1009" s="22"/>
      <c r="J1009" s="22"/>
      <c r="K1009" s="22"/>
      <c r="L1009" s="22"/>
      <c r="M1009" s="22"/>
      <c r="N1009" s="22"/>
    </row>
    <row r="1010" spans="1:14">
      <c r="A1010" s="22"/>
      <c r="B1010" s="22"/>
      <c r="C1010" s="22"/>
      <c r="D1010" s="22"/>
      <c r="E1010" s="22"/>
      <c r="F1010" s="22"/>
      <c r="G1010" s="22"/>
      <c r="H1010" s="22"/>
      <c r="I1010" s="22"/>
      <c r="J1010" s="22"/>
      <c r="K1010" s="22"/>
      <c r="L1010" s="22"/>
      <c r="M1010" s="22"/>
      <c r="N1010" s="22"/>
    </row>
    <row r="1011" spans="1:14">
      <c r="A1011" s="22"/>
      <c r="B1011" s="22"/>
      <c r="C1011" s="22"/>
      <c r="D1011" s="22"/>
      <c r="E1011" s="22"/>
      <c r="F1011" s="22"/>
      <c r="G1011" s="22"/>
      <c r="H1011" s="22"/>
      <c r="I1011" s="22"/>
      <c r="J1011" s="22"/>
      <c r="K1011" s="22"/>
      <c r="L1011" s="22"/>
      <c r="M1011" s="22"/>
      <c r="N1011" s="22"/>
    </row>
    <row r="1012" spans="1:14">
      <c r="A1012" s="22"/>
      <c r="B1012" s="22"/>
      <c r="C1012" s="22"/>
      <c r="D1012" s="22"/>
      <c r="E1012" s="22"/>
      <c r="F1012" s="22"/>
      <c r="G1012" s="22"/>
      <c r="H1012" s="22"/>
      <c r="I1012" s="22"/>
      <c r="J1012" s="22"/>
      <c r="K1012" s="22"/>
      <c r="L1012" s="22"/>
      <c r="M1012" s="22"/>
      <c r="N1012" s="22"/>
    </row>
    <row r="1013" spans="1:14">
      <c r="A1013" s="22"/>
      <c r="B1013" s="22"/>
      <c r="C1013" s="22"/>
      <c r="D1013" s="22"/>
      <c r="E1013" s="22"/>
      <c r="F1013" s="22"/>
      <c r="G1013" s="22"/>
      <c r="H1013" s="22"/>
      <c r="I1013" s="22"/>
      <c r="J1013" s="22"/>
      <c r="K1013" s="22"/>
      <c r="L1013" s="22"/>
      <c r="M1013" s="22"/>
      <c r="N1013" s="22"/>
    </row>
    <row r="1014" spans="1:14">
      <c r="A1014" s="22"/>
      <c r="B1014" s="22"/>
      <c r="C1014" s="22"/>
      <c r="D1014" s="22"/>
      <c r="E1014" s="22"/>
      <c r="F1014" s="22"/>
      <c r="G1014" s="22"/>
      <c r="H1014" s="22"/>
      <c r="I1014" s="22"/>
      <c r="J1014" s="22"/>
      <c r="K1014" s="22"/>
      <c r="L1014" s="22"/>
      <c r="M1014" s="22"/>
      <c r="N1014" s="22"/>
    </row>
    <row r="1015" spans="1:14">
      <c r="A1015" s="22"/>
      <c r="B1015" s="22"/>
      <c r="C1015" s="22"/>
      <c r="D1015" s="22"/>
      <c r="E1015" s="22"/>
      <c r="F1015" s="22"/>
      <c r="G1015" s="22"/>
      <c r="H1015" s="22"/>
      <c r="I1015" s="22"/>
      <c r="J1015" s="22"/>
      <c r="K1015" s="22"/>
      <c r="L1015" s="22"/>
      <c r="M1015" s="22"/>
      <c r="N1015" s="22"/>
    </row>
    <row r="1016" spans="1:14">
      <c r="A1016" s="22"/>
      <c r="B1016" s="22"/>
      <c r="C1016" s="22"/>
      <c r="D1016" s="22"/>
      <c r="E1016" s="22"/>
      <c r="F1016" s="22"/>
      <c r="G1016" s="22"/>
      <c r="H1016" s="22"/>
      <c r="I1016" s="22"/>
      <c r="J1016" s="22"/>
      <c r="K1016" s="22"/>
      <c r="L1016" s="22"/>
      <c r="M1016" s="22"/>
      <c r="N1016" s="22"/>
    </row>
    <row r="1017" spans="1:14">
      <c r="A1017" s="22"/>
      <c r="B1017" s="22"/>
      <c r="C1017" s="22"/>
      <c r="D1017" s="22"/>
      <c r="E1017" s="22"/>
      <c r="F1017" s="22"/>
      <c r="G1017" s="22"/>
      <c r="H1017" s="22"/>
      <c r="I1017" s="22"/>
      <c r="J1017" s="22"/>
      <c r="K1017" s="22"/>
      <c r="L1017" s="22"/>
      <c r="M1017" s="22"/>
      <c r="N1017" s="22"/>
    </row>
    <row r="1018" spans="1:14">
      <c r="A1018" s="22"/>
      <c r="B1018" s="22"/>
      <c r="C1018" s="22"/>
      <c r="D1018" s="22"/>
      <c r="E1018" s="22"/>
      <c r="F1018" s="22"/>
      <c r="G1018" s="22"/>
      <c r="H1018" s="22"/>
      <c r="I1018" s="22"/>
      <c r="J1018" s="22"/>
      <c r="K1018" s="22"/>
      <c r="L1018" s="22"/>
      <c r="M1018" s="22"/>
      <c r="N1018" s="22"/>
    </row>
    <row r="1019" spans="1:14">
      <c r="A1019" s="22"/>
      <c r="B1019" s="22"/>
      <c r="C1019" s="22"/>
      <c r="D1019" s="22"/>
      <c r="E1019" s="22"/>
      <c r="F1019" s="22"/>
      <c r="G1019" s="22"/>
      <c r="H1019" s="22"/>
      <c r="I1019" s="22"/>
      <c r="J1019" s="22"/>
      <c r="K1019" s="22"/>
      <c r="L1019" s="22"/>
      <c r="M1019" s="22"/>
      <c r="N1019" s="22"/>
    </row>
    <row r="1020" spans="1:14">
      <c r="A1020" s="22"/>
      <c r="B1020" s="22"/>
      <c r="C1020" s="22"/>
      <c r="D1020" s="22"/>
      <c r="E1020" s="22"/>
      <c r="F1020" s="22"/>
      <c r="G1020" s="22"/>
      <c r="H1020" s="22"/>
      <c r="I1020" s="22"/>
      <c r="J1020" s="22"/>
      <c r="K1020" s="22"/>
      <c r="L1020" s="22"/>
      <c r="M1020" s="22"/>
      <c r="N1020" s="22"/>
    </row>
    <row r="1021" spans="1:14">
      <c r="A1021" s="22"/>
      <c r="B1021" s="22"/>
      <c r="C1021" s="22"/>
      <c r="D1021" s="22"/>
      <c r="E1021" s="22"/>
      <c r="F1021" s="22"/>
      <c r="G1021" s="22"/>
      <c r="H1021" s="22"/>
      <c r="I1021" s="22"/>
      <c r="J1021" s="22"/>
      <c r="K1021" s="22"/>
      <c r="L1021" s="22"/>
      <c r="M1021" s="22"/>
      <c r="N1021" s="22"/>
    </row>
    <row r="1022" spans="1:14">
      <c r="A1022" s="22"/>
      <c r="B1022" s="22"/>
      <c r="C1022" s="22"/>
      <c r="D1022" s="22"/>
      <c r="E1022" s="22"/>
      <c r="F1022" s="22"/>
      <c r="G1022" s="22"/>
      <c r="H1022" s="22"/>
      <c r="I1022" s="22"/>
      <c r="J1022" s="22"/>
      <c r="K1022" s="22"/>
      <c r="L1022" s="22"/>
      <c r="M1022" s="22"/>
      <c r="N1022" s="22"/>
    </row>
    <row r="1023" spans="1:14">
      <c r="A1023" s="22"/>
      <c r="B1023" s="22"/>
      <c r="C1023" s="22"/>
      <c r="D1023" s="22"/>
      <c r="E1023" s="22"/>
      <c r="F1023" s="22"/>
      <c r="G1023" s="22"/>
      <c r="H1023" s="22"/>
      <c r="I1023" s="22"/>
      <c r="J1023" s="22"/>
      <c r="K1023" s="22"/>
      <c r="L1023" s="22"/>
      <c r="M1023" s="22"/>
      <c r="N1023" s="22"/>
    </row>
    <row r="1024" spans="1:14">
      <c r="A1024" s="22"/>
      <c r="B1024" s="22"/>
      <c r="C1024" s="22"/>
      <c r="D1024" s="22"/>
      <c r="E1024" s="22"/>
      <c r="F1024" s="22"/>
      <c r="G1024" s="22"/>
      <c r="H1024" s="22"/>
      <c r="I1024" s="22"/>
      <c r="J1024" s="22"/>
      <c r="K1024" s="22"/>
      <c r="L1024" s="22"/>
      <c r="M1024" s="22"/>
      <c r="N1024" s="22"/>
    </row>
    <row r="1025" spans="1:14">
      <c r="A1025" s="22"/>
      <c r="B1025" s="22"/>
      <c r="C1025" s="22"/>
      <c r="D1025" s="22"/>
      <c r="E1025" s="22"/>
      <c r="F1025" s="22"/>
      <c r="G1025" s="22"/>
      <c r="H1025" s="22"/>
      <c r="I1025" s="22"/>
      <c r="J1025" s="22"/>
      <c r="K1025" s="22"/>
      <c r="L1025" s="22"/>
      <c r="M1025" s="22"/>
      <c r="N1025" s="22"/>
    </row>
    <row r="1026" spans="1:14">
      <c r="A1026" s="22"/>
      <c r="B1026" s="22"/>
      <c r="C1026" s="22"/>
      <c r="D1026" s="22"/>
      <c r="E1026" s="22"/>
      <c r="F1026" s="22"/>
      <c r="G1026" s="22"/>
      <c r="H1026" s="22"/>
      <c r="I1026" s="22"/>
      <c r="J1026" s="22"/>
      <c r="K1026" s="22"/>
      <c r="L1026" s="22"/>
      <c r="M1026" s="22"/>
      <c r="N1026" s="22"/>
    </row>
    <row r="1027" spans="1:14">
      <c r="A1027" s="22"/>
      <c r="B1027" s="22"/>
      <c r="C1027" s="22"/>
      <c r="D1027" s="22"/>
      <c r="E1027" s="22"/>
      <c r="F1027" s="22"/>
      <c r="G1027" s="22"/>
      <c r="H1027" s="22"/>
      <c r="I1027" s="22"/>
      <c r="J1027" s="22"/>
      <c r="K1027" s="22"/>
      <c r="L1027" s="22"/>
      <c r="M1027" s="22"/>
      <c r="N1027" s="22"/>
    </row>
    <row r="1028" spans="1:14">
      <c r="A1028" s="22"/>
      <c r="B1028" s="22"/>
      <c r="C1028" s="22"/>
      <c r="D1028" s="22"/>
      <c r="E1028" s="22"/>
      <c r="F1028" s="22"/>
      <c r="G1028" s="22"/>
      <c r="H1028" s="22"/>
      <c r="I1028" s="22"/>
      <c r="J1028" s="22"/>
      <c r="K1028" s="22"/>
      <c r="L1028" s="22"/>
      <c r="M1028" s="22"/>
      <c r="N1028" s="22"/>
    </row>
    <row r="1029" spans="1:14">
      <c r="A1029" s="22"/>
      <c r="B1029" s="22"/>
      <c r="C1029" s="22"/>
      <c r="D1029" s="22"/>
      <c r="E1029" s="22"/>
      <c r="F1029" s="22"/>
      <c r="G1029" s="22"/>
      <c r="H1029" s="22"/>
      <c r="I1029" s="22"/>
      <c r="J1029" s="22"/>
      <c r="K1029" s="22"/>
      <c r="L1029" s="22"/>
      <c r="M1029" s="22"/>
      <c r="N1029" s="22"/>
    </row>
    <row r="1030" spans="1:14">
      <c r="A1030" s="22"/>
      <c r="B1030" s="22"/>
      <c r="C1030" s="22"/>
      <c r="D1030" s="22"/>
      <c r="E1030" s="22"/>
      <c r="F1030" s="22"/>
      <c r="G1030" s="22"/>
      <c r="H1030" s="22"/>
      <c r="I1030" s="22"/>
      <c r="J1030" s="22"/>
      <c r="K1030" s="22"/>
      <c r="L1030" s="22"/>
      <c r="M1030" s="22"/>
      <c r="N1030" s="22"/>
    </row>
    <row r="1031" spans="1:14">
      <c r="A1031" s="22"/>
      <c r="B1031" s="22"/>
      <c r="C1031" s="22"/>
      <c r="D1031" s="22"/>
      <c r="E1031" s="22"/>
      <c r="F1031" s="22"/>
      <c r="G1031" s="22"/>
      <c r="H1031" s="22"/>
      <c r="I1031" s="22"/>
      <c r="J1031" s="22"/>
      <c r="K1031" s="22"/>
      <c r="L1031" s="22"/>
      <c r="M1031" s="22"/>
      <c r="N1031" s="22"/>
    </row>
    <row r="1032" spans="1:14">
      <c r="A1032" s="22"/>
      <c r="B1032" s="22"/>
      <c r="C1032" s="22"/>
      <c r="D1032" s="22"/>
      <c r="E1032" s="22"/>
      <c r="F1032" s="22"/>
      <c r="G1032" s="22"/>
      <c r="H1032" s="22"/>
      <c r="I1032" s="22"/>
      <c r="J1032" s="22"/>
      <c r="K1032" s="22"/>
      <c r="L1032" s="22"/>
      <c r="M1032" s="22"/>
      <c r="N1032" s="22"/>
    </row>
    <row r="1033" spans="1:14">
      <c r="A1033" s="22"/>
      <c r="B1033" s="22"/>
      <c r="C1033" s="22"/>
      <c r="D1033" s="22"/>
      <c r="E1033" s="22"/>
      <c r="F1033" s="22"/>
      <c r="G1033" s="22"/>
      <c r="H1033" s="22"/>
      <c r="I1033" s="22"/>
      <c r="J1033" s="22"/>
      <c r="K1033" s="22"/>
      <c r="L1033" s="22"/>
      <c r="M1033" s="22"/>
      <c r="N1033" s="22"/>
    </row>
    <row r="1034" spans="1:14">
      <c r="A1034" s="22"/>
      <c r="B1034" s="22"/>
      <c r="C1034" s="22"/>
      <c r="D1034" s="22"/>
      <c r="E1034" s="22"/>
      <c r="F1034" s="22"/>
      <c r="G1034" s="22"/>
      <c r="H1034" s="22"/>
      <c r="I1034" s="22"/>
      <c r="J1034" s="22"/>
      <c r="K1034" s="22"/>
      <c r="L1034" s="22"/>
      <c r="M1034" s="22"/>
      <c r="N1034" s="22"/>
    </row>
    <row r="1035" spans="1:14">
      <c r="A1035" s="22"/>
      <c r="B1035" s="22"/>
      <c r="C1035" s="22"/>
      <c r="D1035" s="22"/>
      <c r="E1035" s="22"/>
      <c r="F1035" s="22"/>
      <c r="G1035" s="22"/>
      <c r="H1035" s="22"/>
      <c r="I1035" s="22"/>
      <c r="J1035" s="22"/>
      <c r="K1035" s="22"/>
      <c r="L1035" s="22"/>
      <c r="M1035" s="22"/>
      <c r="N1035" s="22"/>
    </row>
    <row r="1036" spans="1:14">
      <c r="A1036" s="22"/>
      <c r="B1036" s="22"/>
      <c r="C1036" s="22"/>
      <c r="D1036" s="22"/>
      <c r="E1036" s="22"/>
      <c r="F1036" s="22"/>
      <c r="G1036" s="22"/>
      <c r="H1036" s="22"/>
      <c r="I1036" s="22"/>
      <c r="J1036" s="22"/>
      <c r="K1036" s="22"/>
      <c r="L1036" s="22"/>
      <c r="M1036" s="22"/>
      <c r="N1036" s="22"/>
    </row>
    <row r="1037" spans="1:14">
      <c r="A1037" s="22"/>
      <c r="B1037" s="22"/>
      <c r="C1037" s="22"/>
      <c r="D1037" s="22"/>
      <c r="E1037" s="22"/>
      <c r="F1037" s="22"/>
      <c r="G1037" s="22"/>
      <c r="H1037" s="22"/>
      <c r="I1037" s="22"/>
      <c r="J1037" s="22"/>
      <c r="K1037" s="22"/>
      <c r="L1037" s="22"/>
      <c r="M1037" s="22"/>
      <c r="N1037" s="22"/>
    </row>
    <row r="1038" spans="1:14">
      <c r="A1038" s="22"/>
      <c r="B1038" s="22"/>
      <c r="C1038" s="22"/>
      <c r="D1038" s="22"/>
      <c r="E1038" s="22"/>
      <c r="F1038" s="22"/>
      <c r="G1038" s="22"/>
      <c r="H1038" s="22"/>
      <c r="I1038" s="22"/>
      <c r="J1038" s="22"/>
      <c r="K1038" s="22"/>
      <c r="L1038" s="22"/>
      <c r="M1038" s="22"/>
      <c r="N1038" s="22"/>
    </row>
    <row r="1039" spans="1:14">
      <c r="A1039" s="22"/>
      <c r="B1039" s="22"/>
      <c r="C1039" s="22"/>
      <c r="D1039" s="22"/>
      <c r="E1039" s="22"/>
      <c r="F1039" s="22"/>
      <c r="G1039" s="22"/>
      <c r="H1039" s="22"/>
      <c r="I1039" s="22"/>
      <c r="J1039" s="22"/>
      <c r="K1039" s="22"/>
      <c r="L1039" s="22"/>
      <c r="M1039" s="22"/>
      <c r="N1039" s="22"/>
    </row>
    <row r="1040" spans="1:14">
      <c r="A1040" s="22"/>
      <c r="B1040" s="22"/>
      <c r="C1040" s="22"/>
      <c r="D1040" s="22"/>
      <c r="E1040" s="22"/>
      <c r="F1040" s="22"/>
      <c r="G1040" s="22"/>
      <c r="H1040" s="22"/>
      <c r="I1040" s="22"/>
      <c r="J1040" s="22"/>
      <c r="K1040" s="22"/>
      <c r="L1040" s="22"/>
      <c r="M1040" s="22"/>
      <c r="N1040" s="22"/>
    </row>
    <row r="1041" spans="1:14">
      <c r="A1041" s="22"/>
      <c r="B1041" s="22"/>
      <c r="C1041" s="22"/>
      <c r="D1041" s="22"/>
      <c r="E1041" s="22"/>
      <c r="F1041" s="22"/>
      <c r="G1041" s="22"/>
      <c r="H1041" s="22"/>
      <c r="I1041" s="22"/>
      <c r="J1041" s="22"/>
      <c r="K1041" s="22"/>
      <c r="L1041" s="22"/>
      <c r="M1041" s="22"/>
      <c r="N1041" s="22"/>
    </row>
    <row r="1042" spans="1:14">
      <c r="A1042" s="22"/>
      <c r="B1042" s="22"/>
      <c r="C1042" s="22"/>
      <c r="D1042" s="22"/>
      <c r="E1042" s="22"/>
      <c r="F1042" s="22"/>
      <c r="G1042" s="22"/>
      <c r="H1042" s="22"/>
      <c r="I1042" s="22"/>
      <c r="J1042" s="22"/>
      <c r="K1042" s="22"/>
      <c r="L1042" s="22"/>
      <c r="M1042" s="22"/>
      <c r="N1042" s="22"/>
    </row>
    <row r="1043" spans="1:14">
      <c r="A1043" s="22"/>
      <c r="B1043" s="22"/>
      <c r="C1043" s="22"/>
      <c r="D1043" s="22"/>
      <c r="E1043" s="22"/>
      <c r="F1043" s="22"/>
      <c r="G1043" s="22"/>
      <c r="H1043" s="22"/>
      <c r="I1043" s="22"/>
      <c r="J1043" s="22"/>
      <c r="K1043" s="22"/>
      <c r="L1043" s="22"/>
      <c r="M1043" s="22"/>
      <c r="N1043" s="22"/>
    </row>
    <row r="1044" spans="1:14">
      <c r="A1044" s="22"/>
      <c r="B1044" s="22"/>
      <c r="C1044" s="22"/>
      <c r="D1044" s="22"/>
      <c r="E1044" s="22"/>
      <c r="F1044" s="22"/>
      <c r="G1044" s="22"/>
      <c r="H1044" s="22"/>
      <c r="I1044" s="22"/>
      <c r="J1044" s="22"/>
      <c r="K1044" s="22"/>
      <c r="L1044" s="22"/>
      <c r="M1044" s="22"/>
      <c r="N1044" s="22"/>
    </row>
    <row r="1045" spans="1:14">
      <c r="A1045" s="22"/>
      <c r="B1045" s="22"/>
      <c r="C1045" s="22"/>
      <c r="D1045" s="22"/>
      <c r="E1045" s="22"/>
      <c r="F1045" s="22"/>
      <c r="G1045" s="22"/>
      <c r="H1045" s="22"/>
      <c r="I1045" s="22"/>
      <c r="J1045" s="22"/>
      <c r="K1045" s="22"/>
      <c r="L1045" s="22"/>
      <c r="M1045" s="22"/>
      <c r="N1045" s="22"/>
    </row>
    <row r="1046" spans="1:14">
      <c r="A1046" s="22"/>
      <c r="B1046" s="22"/>
      <c r="C1046" s="22"/>
      <c r="D1046" s="22"/>
      <c r="E1046" s="22"/>
      <c r="F1046" s="22"/>
      <c r="G1046" s="22"/>
      <c r="H1046" s="22"/>
      <c r="I1046" s="22"/>
      <c r="J1046" s="22"/>
      <c r="K1046" s="22"/>
      <c r="L1046" s="22"/>
      <c r="M1046" s="22"/>
      <c r="N1046" s="22"/>
    </row>
    <row r="1047" spans="1:14">
      <c r="A1047" s="22"/>
      <c r="B1047" s="22"/>
      <c r="C1047" s="22"/>
      <c r="D1047" s="22"/>
      <c r="E1047" s="22"/>
      <c r="F1047" s="22"/>
      <c r="G1047" s="22"/>
      <c r="H1047" s="22"/>
      <c r="I1047" s="22"/>
      <c r="J1047" s="22"/>
      <c r="K1047" s="22"/>
      <c r="L1047" s="22"/>
      <c r="M1047" s="22"/>
      <c r="N1047" s="22"/>
    </row>
    <row r="1048" spans="1:14">
      <c r="A1048" s="22"/>
      <c r="B1048" s="22"/>
      <c r="C1048" s="22"/>
      <c r="D1048" s="22"/>
      <c r="E1048" s="22"/>
      <c r="F1048" s="22"/>
      <c r="G1048" s="22"/>
      <c r="H1048" s="22"/>
      <c r="I1048" s="22"/>
      <c r="J1048" s="22"/>
      <c r="K1048" s="22"/>
      <c r="L1048" s="22"/>
      <c r="M1048" s="22"/>
      <c r="N1048" s="22"/>
    </row>
    <row r="1049" spans="1:14">
      <c r="A1049" s="22"/>
      <c r="B1049" s="22"/>
      <c r="C1049" s="22"/>
      <c r="D1049" s="22"/>
      <c r="E1049" s="22"/>
      <c r="F1049" s="22"/>
      <c r="G1049" s="22"/>
      <c r="H1049" s="22"/>
      <c r="I1049" s="22"/>
      <c r="J1049" s="22"/>
      <c r="K1049" s="22"/>
      <c r="L1049" s="22"/>
      <c r="M1049" s="22"/>
      <c r="N1049" s="22"/>
    </row>
    <row r="1050" spans="1:14">
      <c r="A1050" s="22"/>
      <c r="B1050" s="22"/>
      <c r="C1050" s="22"/>
      <c r="D1050" s="22"/>
      <c r="E1050" s="22"/>
      <c r="F1050" s="22"/>
      <c r="G1050" s="22"/>
      <c r="H1050" s="22"/>
      <c r="I1050" s="22"/>
      <c r="J1050" s="22"/>
      <c r="K1050" s="22"/>
      <c r="L1050" s="22"/>
      <c r="M1050" s="22"/>
      <c r="N1050" s="22"/>
    </row>
    <row r="1051" spans="1:14">
      <c r="A1051" s="22"/>
      <c r="B1051" s="22"/>
      <c r="C1051" s="22"/>
      <c r="D1051" s="22"/>
      <c r="E1051" s="22"/>
      <c r="F1051" s="22"/>
      <c r="G1051" s="22"/>
      <c r="H1051" s="22"/>
      <c r="I1051" s="22"/>
      <c r="J1051" s="22"/>
      <c r="K1051" s="22"/>
      <c r="L1051" s="22"/>
      <c r="M1051" s="22"/>
      <c r="N1051" s="22"/>
    </row>
  </sheetData>
  <mergeCells count="395">
    <mergeCell ref="B570:D570"/>
    <mergeCell ref="B571:F571"/>
    <mergeCell ref="B569:D569"/>
    <mergeCell ref="A566:H566"/>
    <mergeCell ref="B568:D568"/>
    <mergeCell ref="A564:D564"/>
    <mergeCell ref="A558:C558"/>
    <mergeCell ref="A554:C554"/>
    <mergeCell ref="A557:C557"/>
    <mergeCell ref="A561:B561"/>
    <mergeCell ref="A559:C559"/>
    <mergeCell ref="A562:B562"/>
    <mergeCell ref="A563:B563"/>
    <mergeCell ref="A556:C556"/>
    <mergeCell ref="A527:D527"/>
    <mergeCell ref="A528:D528"/>
    <mergeCell ref="A529:D529"/>
    <mergeCell ref="A532:D532"/>
    <mergeCell ref="A533:D533"/>
    <mergeCell ref="A553:C553"/>
    <mergeCell ref="A544:D544"/>
    <mergeCell ref="A546:H546"/>
    <mergeCell ref="A548:C548"/>
    <mergeCell ref="A550:C550"/>
    <mergeCell ref="A543:D543"/>
    <mergeCell ref="A540:D540"/>
    <mergeCell ref="A541:D541"/>
    <mergeCell ref="A542:D542"/>
    <mergeCell ref="A551:C551"/>
    <mergeCell ref="A552:C552"/>
    <mergeCell ref="A526:D526"/>
    <mergeCell ref="A510:D510"/>
    <mergeCell ref="A513:D513"/>
    <mergeCell ref="A514:D514"/>
    <mergeCell ref="A515:D515"/>
    <mergeCell ref="A516:D516"/>
    <mergeCell ref="A517:D517"/>
    <mergeCell ref="A549:C549"/>
    <mergeCell ref="A534:D534"/>
    <mergeCell ref="A535:D535"/>
    <mergeCell ref="A536:D536"/>
    <mergeCell ref="A518:D518"/>
    <mergeCell ref="A519:D519"/>
    <mergeCell ref="A520:D520"/>
    <mergeCell ref="A523:D523"/>
    <mergeCell ref="A524:D524"/>
    <mergeCell ref="A525:D525"/>
    <mergeCell ref="E487:F487"/>
    <mergeCell ref="A499:D499"/>
    <mergeCell ref="A500:D500"/>
    <mergeCell ref="E502:F502"/>
    <mergeCell ref="A505:D505"/>
    <mergeCell ref="A506:D506"/>
    <mergeCell ref="A507:D507"/>
    <mergeCell ref="A508:D508"/>
    <mergeCell ref="A509:D509"/>
    <mergeCell ref="A472:H472"/>
    <mergeCell ref="A474:H474"/>
    <mergeCell ref="A476:H476"/>
    <mergeCell ref="E478:F478"/>
    <mergeCell ref="A481:C481"/>
    <mergeCell ref="A482:C482"/>
    <mergeCell ref="A483:C483"/>
    <mergeCell ref="A484:C484"/>
    <mergeCell ref="A485:C485"/>
    <mergeCell ref="A459:H459"/>
    <mergeCell ref="B461:D461"/>
    <mergeCell ref="B462:D462"/>
    <mergeCell ref="B463:D463"/>
    <mergeCell ref="B464:D464"/>
    <mergeCell ref="B465:F465"/>
    <mergeCell ref="A468:H468"/>
    <mergeCell ref="A470:C470"/>
    <mergeCell ref="A471:C471"/>
    <mergeCell ref="A442:D442"/>
    <mergeCell ref="A444:H444"/>
    <mergeCell ref="A446:H446"/>
    <mergeCell ref="B449:F449"/>
    <mergeCell ref="B451:C451"/>
    <mergeCell ref="B452:C452"/>
    <mergeCell ref="B454:F454"/>
    <mergeCell ref="B456:E456"/>
    <mergeCell ref="B457:E457"/>
    <mergeCell ref="A430:E430"/>
    <mergeCell ref="A432:C432"/>
    <mergeCell ref="A433:C433"/>
    <mergeCell ref="A434:C434"/>
    <mergeCell ref="A435:C435"/>
    <mergeCell ref="A436:C436"/>
    <mergeCell ref="A437:C437"/>
    <mergeCell ref="A439:H439"/>
    <mergeCell ref="A441:D441"/>
    <mergeCell ref="A405:D405"/>
    <mergeCell ref="A406:D406"/>
    <mergeCell ref="A407:D407"/>
    <mergeCell ref="E409:F409"/>
    <mergeCell ref="A412:G412"/>
    <mergeCell ref="A424:D424"/>
    <mergeCell ref="E426:F426"/>
    <mergeCell ref="A428:E428"/>
    <mergeCell ref="A429:E429"/>
    <mergeCell ref="A394:D394"/>
    <mergeCell ref="A395:D395"/>
    <mergeCell ref="A396:D396"/>
    <mergeCell ref="A397:D397"/>
    <mergeCell ref="A398:D398"/>
    <mergeCell ref="A399:D399"/>
    <mergeCell ref="E401:F401"/>
    <mergeCell ref="A403:D403"/>
    <mergeCell ref="A404:D404"/>
    <mergeCell ref="A379:D379"/>
    <mergeCell ref="A382:D382"/>
    <mergeCell ref="A383:D383"/>
    <mergeCell ref="A384:D384"/>
    <mergeCell ref="A385:D385"/>
    <mergeCell ref="A388:D388"/>
    <mergeCell ref="A389:D389"/>
    <mergeCell ref="A390:D390"/>
    <mergeCell ref="E392:F392"/>
    <mergeCell ref="E362:F362"/>
    <mergeCell ref="A367:C367"/>
    <mergeCell ref="A368:C368"/>
    <mergeCell ref="A370:D370"/>
    <mergeCell ref="E372:F372"/>
    <mergeCell ref="A375:D375"/>
    <mergeCell ref="A376:D376"/>
    <mergeCell ref="A377:D377"/>
    <mergeCell ref="A378:D378"/>
    <mergeCell ref="E348:F348"/>
    <mergeCell ref="A351:C351"/>
    <mergeCell ref="A352:C352"/>
    <mergeCell ref="A353:C353"/>
    <mergeCell ref="A354:C354"/>
    <mergeCell ref="E356:F356"/>
    <mergeCell ref="A358:D358"/>
    <mergeCell ref="A359:D359"/>
    <mergeCell ref="A360:D360"/>
    <mergeCell ref="A334:D334"/>
    <mergeCell ref="A335:D335"/>
    <mergeCell ref="A336:D336"/>
    <mergeCell ref="A337:D337"/>
    <mergeCell ref="A340:D340"/>
    <mergeCell ref="A341:D341"/>
    <mergeCell ref="A342:D342"/>
    <mergeCell ref="A343:D343"/>
    <mergeCell ref="A346:H346"/>
    <mergeCell ref="A323:E323"/>
    <mergeCell ref="A324:E324"/>
    <mergeCell ref="A326:H326"/>
    <mergeCell ref="A328:D328"/>
    <mergeCell ref="A329:D329"/>
    <mergeCell ref="A330:D330"/>
    <mergeCell ref="A331:D331"/>
    <mergeCell ref="A332:D332"/>
    <mergeCell ref="A333:D333"/>
    <mergeCell ref="A316:D316"/>
    <mergeCell ref="A317:D317"/>
    <mergeCell ref="F319:G319"/>
    <mergeCell ref="A321:E321"/>
    <mergeCell ref="A322:E322"/>
    <mergeCell ref="A291:E291"/>
    <mergeCell ref="A292:E292"/>
    <mergeCell ref="A293:E293"/>
    <mergeCell ref="A295:G295"/>
    <mergeCell ref="E297:F297"/>
    <mergeCell ref="A274:D274"/>
    <mergeCell ref="A275:D275"/>
    <mergeCell ref="A276:D276"/>
    <mergeCell ref="E278:F278"/>
    <mergeCell ref="A282:E282"/>
    <mergeCell ref="A283:E283"/>
    <mergeCell ref="A301:G301"/>
    <mergeCell ref="A284:E284"/>
    <mergeCell ref="A285:E285"/>
    <mergeCell ref="A286:E286"/>
    <mergeCell ref="A287:E287"/>
    <mergeCell ref="A289:E289"/>
    <mergeCell ref="A290:E290"/>
    <mergeCell ref="E261:F261"/>
    <mergeCell ref="A263:D263"/>
    <mergeCell ref="A264:D264"/>
    <mergeCell ref="A265:D265"/>
    <mergeCell ref="E267:F267"/>
    <mergeCell ref="A270:D270"/>
    <mergeCell ref="A271:D271"/>
    <mergeCell ref="A272:D272"/>
    <mergeCell ref="A273:D273"/>
    <mergeCell ref="A249:D249"/>
    <mergeCell ref="A250:D250"/>
    <mergeCell ref="A251:D251"/>
    <mergeCell ref="A252:D252"/>
    <mergeCell ref="A255:D255"/>
    <mergeCell ref="A256:D256"/>
    <mergeCell ref="A257:D257"/>
    <mergeCell ref="A258:D258"/>
    <mergeCell ref="A259:D259"/>
    <mergeCell ref="A238:D238"/>
    <mergeCell ref="A239:D239"/>
    <mergeCell ref="A240:D240"/>
    <mergeCell ref="A241:D241"/>
    <mergeCell ref="A242:D242"/>
    <mergeCell ref="A243:D243"/>
    <mergeCell ref="A246:D246"/>
    <mergeCell ref="A247:D247"/>
    <mergeCell ref="A248:D248"/>
    <mergeCell ref="A225:D225"/>
    <mergeCell ref="A228:D228"/>
    <mergeCell ref="A229:D229"/>
    <mergeCell ref="A230:D230"/>
    <mergeCell ref="A231:D231"/>
    <mergeCell ref="A232:D232"/>
    <mergeCell ref="A233:D233"/>
    <mergeCell ref="A234:D234"/>
    <mergeCell ref="A235:D235"/>
    <mergeCell ref="A212:C212"/>
    <mergeCell ref="A214:D214"/>
    <mergeCell ref="A215:D215"/>
    <mergeCell ref="E217:F217"/>
    <mergeCell ref="A220:D220"/>
    <mergeCell ref="A221:D221"/>
    <mergeCell ref="A222:D222"/>
    <mergeCell ref="A223:D223"/>
    <mergeCell ref="A224:D224"/>
    <mergeCell ref="A200:D200"/>
    <mergeCell ref="E202:F202"/>
    <mergeCell ref="A203:F203"/>
    <mergeCell ref="A204:B204"/>
    <mergeCell ref="A205:F205"/>
    <mergeCell ref="A206:B206"/>
    <mergeCell ref="A207:B207"/>
    <mergeCell ref="A209:B209"/>
    <mergeCell ref="A211:F211"/>
    <mergeCell ref="A189:C189"/>
    <mergeCell ref="A190:C190"/>
    <mergeCell ref="A191:C191"/>
    <mergeCell ref="A192:C192"/>
    <mergeCell ref="A193:C193"/>
    <mergeCell ref="E195:F195"/>
    <mergeCell ref="A197:D197"/>
    <mergeCell ref="A198:D198"/>
    <mergeCell ref="A199:D199"/>
    <mergeCell ref="A169:D169"/>
    <mergeCell ref="A170:D170"/>
    <mergeCell ref="A171:D171"/>
    <mergeCell ref="A172:D172"/>
    <mergeCell ref="A178:D178"/>
    <mergeCell ref="A179:D179"/>
    <mergeCell ref="A180:D180"/>
    <mergeCell ref="A181:D181"/>
    <mergeCell ref="E186:F186"/>
    <mergeCell ref="A157:C157"/>
    <mergeCell ref="A158:C158"/>
    <mergeCell ref="A159:C159"/>
    <mergeCell ref="A160:C160"/>
    <mergeCell ref="A161:C161"/>
    <mergeCell ref="A162:C162"/>
    <mergeCell ref="A164:H164"/>
    <mergeCell ref="A167:D167"/>
    <mergeCell ref="A168:D168"/>
    <mergeCell ref="A147:D147"/>
    <mergeCell ref="A149:H149"/>
    <mergeCell ref="A151:C152"/>
    <mergeCell ref="D151:E151"/>
    <mergeCell ref="G151:G152"/>
    <mergeCell ref="A153:C153"/>
    <mergeCell ref="A154:C154"/>
    <mergeCell ref="A155:C155"/>
    <mergeCell ref="A156:C156"/>
    <mergeCell ref="A128:D128"/>
    <mergeCell ref="A130:H130"/>
    <mergeCell ref="A133:H133"/>
    <mergeCell ref="A137:D137"/>
    <mergeCell ref="A138:D138"/>
    <mergeCell ref="A139:D139"/>
    <mergeCell ref="A140:D140"/>
    <mergeCell ref="A145:D145"/>
    <mergeCell ref="A146:D146"/>
    <mergeCell ref="A102:D102"/>
    <mergeCell ref="A103:D103"/>
    <mergeCell ref="A116:D116"/>
    <mergeCell ref="A117:D117"/>
    <mergeCell ref="A118:D118"/>
    <mergeCell ref="A119:D119"/>
    <mergeCell ref="A120:D120"/>
    <mergeCell ref="A121:D121"/>
    <mergeCell ref="A122:D122"/>
    <mergeCell ref="A96:A101"/>
    <mergeCell ref="B96:D96"/>
    <mergeCell ref="E96:E101"/>
    <mergeCell ref="F96:F101"/>
    <mergeCell ref="B97:D97"/>
    <mergeCell ref="B98:D98"/>
    <mergeCell ref="B99:D99"/>
    <mergeCell ref="B100:D100"/>
    <mergeCell ref="B101:D101"/>
    <mergeCell ref="A90:A95"/>
    <mergeCell ref="B90:D90"/>
    <mergeCell ref="E90:E95"/>
    <mergeCell ref="F90:F95"/>
    <mergeCell ref="B91:D91"/>
    <mergeCell ref="B92:D92"/>
    <mergeCell ref="B93:D93"/>
    <mergeCell ref="B94:D94"/>
    <mergeCell ref="B95:D95"/>
    <mergeCell ref="B80:D80"/>
    <mergeCell ref="B81:D81"/>
    <mergeCell ref="B82:D82"/>
    <mergeCell ref="B83:D83"/>
    <mergeCell ref="A84:A89"/>
    <mergeCell ref="B84:D84"/>
    <mergeCell ref="E84:E89"/>
    <mergeCell ref="F84:F89"/>
    <mergeCell ref="B85:D85"/>
    <mergeCell ref="B86:D86"/>
    <mergeCell ref="B87:D87"/>
    <mergeCell ref="B88:D88"/>
    <mergeCell ref="B89:D89"/>
    <mergeCell ref="A50:C50"/>
    <mergeCell ref="A52:B52"/>
    <mergeCell ref="A51:C51"/>
    <mergeCell ref="A53:B53"/>
    <mergeCell ref="A55:B55"/>
    <mergeCell ref="A62:H62"/>
    <mergeCell ref="A63:H63"/>
    <mergeCell ref="B65:D65"/>
    <mergeCell ref="A66:A71"/>
    <mergeCell ref="B66:D66"/>
    <mergeCell ref="E66:E71"/>
    <mergeCell ref="F66:F71"/>
    <mergeCell ref="B67:D67"/>
    <mergeCell ref="B71:D71"/>
    <mergeCell ref="A22:E22"/>
    <mergeCell ref="F22:H22"/>
    <mergeCell ref="A24:H24"/>
    <mergeCell ref="A26:H26"/>
    <mergeCell ref="A28:H28"/>
    <mergeCell ref="A29:H29"/>
    <mergeCell ref="A31:F31"/>
    <mergeCell ref="G31:H31"/>
    <mergeCell ref="A32:F32"/>
    <mergeCell ref="G32:H32"/>
    <mergeCell ref="A16:E16"/>
    <mergeCell ref="F16:H16"/>
    <mergeCell ref="A18:E18"/>
    <mergeCell ref="F18:H18"/>
    <mergeCell ref="A19:E19"/>
    <mergeCell ref="F19:H19"/>
    <mergeCell ref="A20:E20"/>
    <mergeCell ref="F20:H20"/>
    <mergeCell ref="A21:E21"/>
    <mergeCell ref="F21:H21"/>
    <mergeCell ref="A10:E10"/>
    <mergeCell ref="F10:H10"/>
    <mergeCell ref="A12:E12"/>
    <mergeCell ref="F12:H12"/>
    <mergeCell ref="A13:E13"/>
    <mergeCell ref="F13:H13"/>
    <mergeCell ref="A14:E14"/>
    <mergeCell ref="F14:H14"/>
    <mergeCell ref="A15:E15"/>
    <mergeCell ref="F15:H15"/>
    <mergeCell ref="A1:H1"/>
    <mergeCell ref="A2:H2"/>
    <mergeCell ref="A4:H4"/>
    <mergeCell ref="A6:H6"/>
    <mergeCell ref="A7:E7"/>
    <mergeCell ref="F7:H7"/>
    <mergeCell ref="A8:E8"/>
    <mergeCell ref="F8:H8"/>
    <mergeCell ref="A9:E9"/>
    <mergeCell ref="F9:H9"/>
    <mergeCell ref="A54:B54"/>
    <mergeCell ref="G66:G71"/>
    <mergeCell ref="G72:G77"/>
    <mergeCell ref="G96:G101"/>
    <mergeCell ref="G90:G95"/>
    <mergeCell ref="G84:G89"/>
    <mergeCell ref="G78:G83"/>
    <mergeCell ref="B68:D68"/>
    <mergeCell ref="B69:D69"/>
    <mergeCell ref="B70:D70"/>
    <mergeCell ref="A72:A77"/>
    <mergeCell ref="B72:D72"/>
    <mergeCell ref="E72:E77"/>
    <mergeCell ref="F72:F77"/>
    <mergeCell ref="B73:D73"/>
    <mergeCell ref="B74:D74"/>
    <mergeCell ref="B75:D75"/>
    <mergeCell ref="B76:D76"/>
    <mergeCell ref="B77:D77"/>
    <mergeCell ref="A78:A83"/>
    <mergeCell ref="B78:D78"/>
    <mergeCell ref="E78:E83"/>
    <mergeCell ref="F78:F83"/>
    <mergeCell ref="B79:D79"/>
  </mergeCells>
  <pageMargins left="0.51181102362204722" right="0.31496062992125984" top="0.78740157480314965" bottom="0.59055118110236227" header="0.51181102362204722" footer="0.51181102362204722"/>
  <pageSetup paperSize="9" scale="85" firstPageNumber="0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L422"/>
  <sheetViews>
    <sheetView zoomScale="110" zoomScaleNormal="110" workbookViewId="0">
      <selection activeCell="A2" sqref="A2:IV2"/>
    </sheetView>
  </sheetViews>
  <sheetFormatPr defaultColWidth="8.7109375" defaultRowHeight="15"/>
  <cols>
    <col min="1" max="3" width="12.7109375" customWidth="1"/>
    <col min="4" max="4" width="13.7109375" customWidth="1"/>
    <col min="5" max="9" width="12.7109375" customWidth="1"/>
    <col min="12" max="12" width="14.28515625" customWidth="1"/>
  </cols>
  <sheetData>
    <row r="1" spans="1:9" ht="20.100000000000001" customHeight="1">
      <c r="A1" s="671" t="s">
        <v>765</v>
      </c>
      <c r="B1" s="671"/>
      <c r="C1" s="671"/>
      <c r="D1" s="671"/>
      <c r="E1" s="671"/>
      <c r="F1" s="671"/>
      <c r="G1" s="671"/>
      <c r="H1" s="671"/>
    </row>
    <row r="2" spans="1:9" ht="28.5" customHeight="1">
      <c r="A2" s="765" t="s">
        <v>496</v>
      </c>
      <c r="B2" s="766"/>
      <c r="C2" s="766"/>
      <c r="D2" s="766"/>
      <c r="E2" s="766"/>
      <c r="F2" s="766"/>
      <c r="G2" s="766"/>
      <c r="H2" s="767"/>
      <c r="I2" s="510"/>
    </row>
    <row r="3" spans="1:9">
      <c r="A3" s="133"/>
      <c r="B3" s="133"/>
      <c r="C3" s="133"/>
      <c r="D3" s="133"/>
      <c r="E3" s="133"/>
      <c r="F3" s="133"/>
      <c r="G3" s="133"/>
      <c r="H3" s="133"/>
      <c r="I3" s="133"/>
    </row>
    <row r="4" spans="1:9" ht="36" customHeight="1">
      <c r="A4" s="768" t="s">
        <v>739</v>
      </c>
      <c r="B4" s="768"/>
      <c r="C4" s="768"/>
      <c r="D4" s="768"/>
      <c r="E4" s="768"/>
      <c r="F4" s="768"/>
      <c r="G4" s="768"/>
      <c r="H4" s="768"/>
      <c r="I4" s="511"/>
    </row>
    <row r="5" spans="1:9">
      <c r="A5" s="22"/>
      <c r="B5" s="22"/>
      <c r="C5" s="22"/>
      <c r="D5" s="22"/>
      <c r="E5" s="22"/>
      <c r="F5" s="22"/>
      <c r="G5" s="22"/>
      <c r="H5" s="22"/>
      <c r="I5" s="22"/>
    </row>
    <row r="6" spans="1:9">
      <c r="A6" s="769" t="s">
        <v>497</v>
      </c>
      <c r="B6" s="769"/>
      <c r="C6" s="769"/>
      <c r="D6" s="769"/>
      <c r="E6" s="769"/>
      <c r="F6" s="769"/>
      <c r="G6" s="769"/>
      <c r="H6" s="769"/>
      <c r="I6" s="113"/>
    </row>
    <row r="7" spans="1:9">
      <c r="A7" s="93"/>
      <c r="B7" s="93"/>
      <c r="C7" s="93"/>
      <c r="D7" s="93"/>
      <c r="E7" s="93"/>
      <c r="F7" s="93"/>
      <c r="G7" s="82"/>
      <c r="H7" s="82"/>
      <c r="I7" s="113"/>
    </row>
    <row r="8" spans="1:9" ht="30" customHeight="1">
      <c r="A8" s="770" t="s">
        <v>23</v>
      </c>
      <c r="B8" s="770"/>
      <c r="C8" s="770"/>
      <c r="D8" s="602" t="s">
        <v>498</v>
      </c>
      <c r="E8" s="125"/>
      <c r="F8" s="125"/>
      <c r="G8" s="512"/>
      <c r="H8" s="513"/>
      <c r="I8" s="250"/>
    </row>
    <row r="9" spans="1:9">
      <c r="A9" s="662" t="s">
        <v>499</v>
      </c>
      <c r="B9" s="662"/>
      <c r="C9" s="662"/>
      <c r="D9" s="662"/>
      <c r="E9" s="84"/>
      <c r="F9" s="113"/>
      <c r="G9" s="317"/>
      <c r="H9" s="317"/>
      <c r="I9" s="317"/>
    </row>
    <row r="10" spans="1:9">
      <c r="A10" s="725" t="s">
        <v>500</v>
      </c>
      <c r="B10" s="725"/>
      <c r="C10" s="725"/>
      <c r="D10" s="514">
        <f>F112</f>
        <v>44312.753422931666</v>
      </c>
      <c r="E10" s="250"/>
      <c r="F10" s="113"/>
      <c r="G10" s="317"/>
      <c r="H10" s="317"/>
      <c r="I10" s="317"/>
    </row>
    <row r="11" spans="1:9">
      <c r="A11" s="725" t="s">
        <v>501</v>
      </c>
      <c r="B11" s="725"/>
      <c r="C11" s="725"/>
      <c r="D11" s="514">
        <f>D395</f>
        <v>33410.31960503765</v>
      </c>
      <c r="E11" s="113"/>
      <c r="F11" s="113"/>
      <c r="G11" s="317"/>
      <c r="H11" s="317"/>
      <c r="I11" s="317"/>
    </row>
    <row r="12" spans="1:9">
      <c r="A12" s="759" t="s">
        <v>423</v>
      </c>
      <c r="B12" s="759"/>
      <c r="C12" s="759"/>
      <c r="D12" s="247">
        <f>D10+D11</f>
        <v>77723.073027969309</v>
      </c>
      <c r="E12" s="250"/>
      <c r="F12" s="113"/>
      <c r="G12" s="317"/>
      <c r="H12" s="317"/>
      <c r="I12" s="317"/>
    </row>
    <row r="13" spans="1:9">
      <c r="A13" s="662" t="s">
        <v>502</v>
      </c>
      <c r="B13" s="662"/>
      <c r="C13" s="662"/>
      <c r="D13" s="662"/>
      <c r="E13" s="250"/>
      <c r="F13" s="113"/>
      <c r="G13" s="317"/>
      <c r="H13" s="317"/>
      <c r="I13" s="317"/>
    </row>
    <row r="14" spans="1:9">
      <c r="A14" s="389" t="s">
        <v>503</v>
      </c>
      <c r="B14" s="515"/>
      <c r="C14" s="515"/>
      <c r="D14" s="516">
        <f>E411</f>
        <v>2387.2220689655169</v>
      </c>
      <c r="E14" s="250"/>
      <c r="F14" s="113"/>
      <c r="G14" s="317"/>
      <c r="H14" s="317"/>
      <c r="I14" s="317"/>
    </row>
    <row r="15" spans="1:9">
      <c r="A15" s="259"/>
      <c r="B15" s="259"/>
      <c r="C15" s="259"/>
      <c r="D15" s="250"/>
      <c r="E15" s="250"/>
      <c r="F15" s="113"/>
      <c r="G15" s="317"/>
      <c r="H15" s="317"/>
      <c r="I15" s="317"/>
    </row>
    <row r="16" spans="1:9" s="414" customFormat="1">
      <c r="A16" s="662" t="s">
        <v>504</v>
      </c>
      <c r="B16" s="662"/>
      <c r="C16" s="662"/>
      <c r="D16" s="514">
        <f>D12+D14</f>
        <v>80110.295096934831</v>
      </c>
      <c r="E16" s="250"/>
      <c r="F16" s="250"/>
      <c r="G16" s="317"/>
      <c r="H16" s="317"/>
      <c r="I16" s="317"/>
    </row>
    <row r="17" spans="1:12">
      <c r="A17" s="689" t="s">
        <v>505</v>
      </c>
      <c r="B17" s="689"/>
      <c r="C17" s="689"/>
      <c r="D17" s="517">
        <f>D16/2</f>
        <v>40055.147548467416</v>
      </c>
      <c r="E17" s="250"/>
      <c r="F17" s="113"/>
      <c r="G17" s="317"/>
      <c r="H17" s="317"/>
      <c r="I17" s="317"/>
    </row>
    <row r="18" spans="1:12" s="193" customFormat="1">
      <c r="A18" s="597"/>
      <c r="B18" s="597"/>
      <c r="C18" s="597"/>
      <c r="E18" s="250"/>
      <c r="F18" s="113"/>
      <c r="G18" s="317"/>
      <c r="H18" s="317"/>
      <c r="I18" s="317"/>
    </row>
    <row r="19" spans="1:12">
      <c r="A19" s="21"/>
      <c r="B19" s="21"/>
      <c r="C19" s="21"/>
      <c r="D19" s="21"/>
      <c r="E19" s="21"/>
      <c r="F19" s="21"/>
      <c r="G19" s="21"/>
      <c r="H19" s="21"/>
      <c r="I19" s="130"/>
      <c r="L19" s="495"/>
    </row>
    <row r="20" spans="1:12">
      <c r="A20" s="769" t="s">
        <v>506</v>
      </c>
      <c r="B20" s="769"/>
      <c r="C20" s="769"/>
      <c r="D20" s="769"/>
      <c r="E20" s="769"/>
      <c r="F20" s="769"/>
      <c r="G20" s="769"/>
      <c r="H20" s="769"/>
      <c r="I20" s="113"/>
    </row>
    <row r="21" spans="1:12">
      <c r="A21" s="126"/>
      <c r="B21" s="126"/>
      <c r="C21" s="126"/>
      <c r="D21" s="126"/>
      <c r="E21" s="126"/>
      <c r="F21" s="126"/>
      <c r="G21" s="126"/>
      <c r="H21" s="126"/>
      <c r="I21" s="126"/>
    </row>
    <row r="22" spans="1:12">
      <c r="A22" s="689" t="s">
        <v>158</v>
      </c>
      <c r="B22" s="689"/>
      <c r="C22" s="689"/>
      <c r="D22" s="689"/>
      <c r="E22" s="689"/>
      <c r="F22" s="689"/>
      <c r="G22" s="689"/>
      <c r="H22" s="689"/>
      <c r="I22" s="84"/>
    </row>
    <row r="23" spans="1:12" ht="24" customHeight="1">
      <c r="A23" s="681" t="s">
        <v>741</v>
      </c>
      <c r="B23" s="681"/>
      <c r="C23" s="681"/>
      <c r="D23" s="681"/>
      <c r="E23" s="681"/>
      <c r="F23" s="681"/>
      <c r="G23" s="681"/>
      <c r="H23" s="681"/>
      <c r="I23" s="518"/>
    </row>
    <row r="24" spans="1:12">
      <c r="A24" s="155"/>
      <c r="B24" s="155"/>
      <c r="C24" s="156"/>
      <c r="D24" s="156"/>
      <c r="E24" s="156"/>
      <c r="F24" s="156"/>
      <c r="G24" s="156"/>
      <c r="H24" s="156"/>
      <c r="I24" s="156"/>
    </row>
    <row r="25" spans="1:12">
      <c r="B25" s="159" t="s">
        <v>159</v>
      </c>
      <c r="C25" s="160">
        <v>2018</v>
      </c>
      <c r="D25" s="160">
        <v>2019</v>
      </c>
      <c r="E25" s="595">
        <v>2020</v>
      </c>
      <c r="F25" s="87"/>
      <c r="G25" s="216"/>
      <c r="I25" s="21"/>
    </row>
    <row r="26" spans="1:12">
      <c r="B26" s="26" t="s">
        <v>160</v>
      </c>
      <c r="C26" s="431">
        <v>95.61</v>
      </c>
      <c r="D26" s="431">
        <v>95.95</v>
      </c>
      <c r="E26" s="587">
        <v>103.53</v>
      </c>
      <c r="F26" s="119"/>
      <c r="G26" s="216"/>
      <c r="I26" s="21"/>
    </row>
    <row r="27" spans="1:12">
      <c r="B27" s="26" t="s">
        <v>161</v>
      </c>
      <c r="C27" s="431">
        <v>64.88</v>
      </c>
      <c r="D27" s="431">
        <v>56.61</v>
      </c>
      <c r="E27" s="587">
        <v>75.319999999999993</v>
      </c>
      <c r="F27" s="119"/>
      <c r="G27" s="216"/>
      <c r="I27" s="21"/>
    </row>
    <row r="28" spans="1:12">
      <c r="B28" s="26" t="s">
        <v>162</v>
      </c>
      <c r="C28" s="431">
        <v>75.03</v>
      </c>
      <c r="D28" s="431">
        <v>67.55</v>
      </c>
      <c r="E28" s="587">
        <v>63.8</v>
      </c>
      <c r="F28" s="119"/>
      <c r="G28" s="216"/>
      <c r="I28" s="21"/>
    </row>
    <row r="29" spans="1:12">
      <c r="B29" s="26" t="s">
        <v>163</v>
      </c>
      <c r="C29" s="431">
        <v>67.400000000000006</v>
      </c>
      <c r="D29" s="431">
        <v>58.34</v>
      </c>
      <c r="E29" s="587">
        <v>83.97</v>
      </c>
      <c r="F29" s="119"/>
      <c r="G29" s="216"/>
      <c r="I29" s="21"/>
    </row>
    <row r="30" spans="1:12">
      <c r="B30" s="26" t="s">
        <v>164</v>
      </c>
      <c r="C30" s="431">
        <v>62.05</v>
      </c>
      <c r="D30" s="431">
        <v>66.290000000000006</v>
      </c>
      <c r="E30" s="587">
        <v>70.739999999999995</v>
      </c>
      <c r="F30" s="119"/>
      <c r="G30" s="216"/>
      <c r="I30" s="21"/>
    </row>
    <row r="31" spans="1:12">
      <c r="B31" s="26" t="s">
        <v>165</v>
      </c>
      <c r="C31" s="431">
        <v>71.989999999999995</v>
      </c>
      <c r="D31" s="431">
        <v>55.88</v>
      </c>
      <c r="E31" s="587">
        <v>70.61</v>
      </c>
      <c r="F31" s="119"/>
      <c r="G31" s="216"/>
      <c r="I31" s="21"/>
    </row>
    <row r="32" spans="1:12">
      <c r="B32" s="26" t="s">
        <v>166</v>
      </c>
      <c r="C32" s="431">
        <v>73.36</v>
      </c>
      <c r="D32" s="431">
        <v>73.45</v>
      </c>
      <c r="E32" s="587">
        <v>87.99</v>
      </c>
      <c r="F32" s="119"/>
      <c r="G32" s="216"/>
      <c r="I32" s="21"/>
    </row>
    <row r="33" spans="1:9">
      <c r="B33" s="26" t="s">
        <v>167</v>
      </c>
      <c r="C33" s="431">
        <v>77.56</v>
      </c>
      <c r="D33" s="431">
        <v>63.64</v>
      </c>
      <c r="E33" s="587">
        <v>75.66</v>
      </c>
      <c r="F33" s="119"/>
      <c r="G33" s="216"/>
      <c r="I33" s="21"/>
    </row>
    <row r="34" spans="1:9">
      <c r="B34" s="26" t="s">
        <v>168</v>
      </c>
      <c r="C34" s="431">
        <v>72.25</v>
      </c>
      <c r="D34" s="431">
        <v>61.82</v>
      </c>
      <c r="E34" s="587">
        <v>63.06</v>
      </c>
      <c r="F34" s="119"/>
      <c r="G34" s="216"/>
      <c r="I34" s="21"/>
    </row>
    <row r="35" spans="1:9">
      <c r="B35" s="26" t="s">
        <v>169</v>
      </c>
      <c r="C35" s="431">
        <v>76.27</v>
      </c>
      <c r="D35" s="431">
        <v>79.260000000000005</v>
      </c>
      <c r="E35" s="587">
        <v>71.86</v>
      </c>
      <c r="F35" s="119"/>
      <c r="G35" s="216"/>
      <c r="I35" s="21"/>
    </row>
    <row r="36" spans="1:9">
      <c r="A36" s="139"/>
      <c r="B36" s="26" t="s">
        <v>170</v>
      </c>
      <c r="C36" s="431">
        <v>74.77</v>
      </c>
      <c r="D36" s="431">
        <v>82.76</v>
      </c>
      <c r="E36" s="587">
        <v>63.74</v>
      </c>
      <c r="F36" s="119"/>
      <c r="G36" s="233"/>
      <c r="H36" s="139"/>
      <c r="I36" s="21"/>
    </row>
    <row r="37" spans="1:9">
      <c r="B37" s="26" t="s">
        <v>171</v>
      </c>
      <c r="C37" s="431">
        <v>74.33</v>
      </c>
      <c r="D37" s="431">
        <v>80.25</v>
      </c>
      <c r="E37" s="587">
        <v>79.19</v>
      </c>
      <c r="F37" s="119"/>
      <c r="G37" s="216"/>
      <c r="I37" s="21"/>
    </row>
    <row r="38" spans="1:9" ht="23.25">
      <c r="B38" s="167" t="s">
        <v>172</v>
      </c>
      <c r="C38" s="168">
        <f>SUM(C26:C37)</f>
        <v>885.50000000000011</v>
      </c>
      <c r="D38" s="169">
        <f>SUM(D26:D37)</f>
        <v>841.80000000000007</v>
      </c>
      <c r="E38" s="169">
        <f>SUM(E26:E37)</f>
        <v>909.47</v>
      </c>
      <c r="F38" s="222"/>
      <c r="G38" s="216"/>
      <c r="I38" s="63"/>
    </row>
    <row r="39" spans="1:9" ht="22.5">
      <c r="B39" s="170" t="s">
        <v>173</v>
      </c>
      <c r="C39" s="79">
        <f>AVERAGE(C26:C37)</f>
        <v>73.791666666666671</v>
      </c>
      <c r="D39" s="79">
        <f>AVERAGE(D26:D36)</f>
        <v>69.231818181818184</v>
      </c>
      <c r="E39" s="79">
        <f>E38/12</f>
        <v>75.789166666666674</v>
      </c>
      <c r="F39" s="123"/>
      <c r="G39" s="123"/>
      <c r="I39" s="21"/>
    </row>
    <row r="40" spans="1:9">
      <c r="A40" s="171"/>
      <c r="B40" s="171"/>
      <c r="C40" s="102"/>
      <c r="D40" s="102"/>
      <c r="E40" s="102"/>
      <c r="F40" s="102"/>
      <c r="G40" s="216"/>
      <c r="H40" s="123"/>
      <c r="I40" s="21"/>
    </row>
    <row r="41" spans="1:9">
      <c r="A41" s="662" t="s">
        <v>732</v>
      </c>
      <c r="B41" s="662"/>
      <c r="C41" s="662"/>
      <c r="D41" s="662"/>
      <c r="E41" s="519">
        <v>80</v>
      </c>
      <c r="F41" s="173"/>
    </row>
    <row r="42" spans="1:9">
      <c r="A42" s="662" t="s">
        <v>507</v>
      </c>
      <c r="B42" s="662"/>
      <c r="C42" s="662"/>
      <c r="D42" s="662"/>
      <c r="E42" s="519">
        <f>E41/22</f>
        <v>3.6363636363636362</v>
      </c>
      <c r="F42" s="173"/>
    </row>
    <row r="43" spans="1:9">
      <c r="A43" s="414"/>
      <c r="B43" s="414"/>
      <c r="C43" s="414"/>
      <c r="D43" s="179"/>
      <c r="E43" s="520"/>
      <c r="F43" s="192"/>
      <c r="G43" s="414"/>
      <c r="H43" s="414"/>
      <c r="I43" s="414"/>
    </row>
    <row r="44" spans="1:9">
      <c r="A44" s="689" t="s">
        <v>508</v>
      </c>
      <c r="B44" s="689"/>
      <c r="C44" s="689"/>
      <c r="D44" s="689"/>
      <c r="E44" s="689"/>
      <c r="F44" s="689"/>
      <c r="G44" s="689"/>
      <c r="H44" s="689"/>
      <c r="I44" s="257"/>
    </row>
    <row r="45" spans="1:9">
      <c r="A45" s="182"/>
      <c r="B45" s="182"/>
      <c r="C45" s="182"/>
      <c r="D45" s="182"/>
      <c r="E45" s="182"/>
      <c r="F45" s="182"/>
      <c r="G45" s="182"/>
      <c r="H45" s="182"/>
      <c r="I45" s="182"/>
    </row>
    <row r="46" spans="1:9" ht="27" customHeight="1">
      <c r="A46" s="521" t="s">
        <v>509</v>
      </c>
      <c r="B46" s="771" t="s">
        <v>184</v>
      </c>
      <c r="C46" s="771"/>
      <c r="D46" s="771"/>
      <c r="E46" s="604" t="s">
        <v>510</v>
      </c>
      <c r="F46" s="21"/>
      <c r="G46" s="182"/>
      <c r="H46" s="182"/>
      <c r="I46" s="522"/>
    </row>
    <row r="47" spans="1:9">
      <c r="A47" s="772" t="s">
        <v>511</v>
      </c>
      <c r="B47" s="725" t="s">
        <v>512</v>
      </c>
      <c r="C47" s="725"/>
      <c r="D47" s="725"/>
      <c r="E47" s="788">
        <v>189.1</v>
      </c>
      <c r="F47" s="523"/>
      <c r="G47" s="523"/>
      <c r="H47" s="182"/>
      <c r="I47" s="524"/>
    </row>
    <row r="48" spans="1:9">
      <c r="A48" s="772"/>
      <c r="B48" s="725" t="s">
        <v>201</v>
      </c>
      <c r="C48" s="725"/>
      <c r="D48" s="725"/>
      <c r="E48" s="789"/>
      <c r="F48" s="523"/>
      <c r="G48" s="523"/>
      <c r="H48" s="182"/>
      <c r="I48" s="524"/>
    </row>
    <row r="49" spans="1:9">
      <c r="A49" s="772" t="s">
        <v>513</v>
      </c>
      <c r="B49" s="725" t="s">
        <v>514</v>
      </c>
      <c r="C49" s="725"/>
      <c r="D49" s="725"/>
      <c r="E49" s="788">
        <v>188.6</v>
      </c>
      <c r="F49" s="523"/>
      <c r="G49" s="523"/>
      <c r="H49" s="182"/>
      <c r="I49" s="524"/>
    </row>
    <row r="50" spans="1:9">
      <c r="A50" s="772"/>
      <c r="B50" s="725" t="s">
        <v>515</v>
      </c>
      <c r="C50" s="725"/>
      <c r="D50" s="725"/>
      <c r="E50" s="790"/>
      <c r="F50" s="523"/>
      <c r="G50" s="523"/>
      <c r="H50" s="182"/>
      <c r="I50" s="524"/>
    </row>
    <row r="51" spans="1:9">
      <c r="A51" s="772"/>
      <c r="B51" s="725" t="s">
        <v>516</v>
      </c>
      <c r="C51" s="725"/>
      <c r="D51" s="725"/>
      <c r="E51" s="790"/>
      <c r="F51" s="523"/>
      <c r="G51" s="523"/>
      <c r="H51" s="182"/>
      <c r="I51" s="524"/>
    </row>
    <row r="52" spans="1:9">
      <c r="A52" s="772"/>
      <c r="B52" s="725" t="s">
        <v>517</v>
      </c>
      <c r="C52" s="725"/>
      <c r="D52" s="725"/>
      <c r="E52" s="790"/>
      <c r="F52" s="523"/>
      <c r="G52" s="523"/>
      <c r="H52" s="182"/>
      <c r="I52" s="524"/>
    </row>
    <row r="53" spans="1:9">
      <c r="A53" s="772"/>
      <c r="B53" s="725" t="s">
        <v>518</v>
      </c>
      <c r="C53" s="725"/>
      <c r="D53" s="725"/>
      <c r="E53" s="790"/>
      <c r="F53" s="523"/>
      <c r="G53" s="523"/>
      <c r="H53" s="182"/>
      <c r="I53" s="524"/>
    </row>
    <row r="54" spans="1:9" ht="24.75" customHeight="1">
      <c r="A54" s="772"/>
      <c r="B54" s="681" t="s">
        <v>519</v>
      </c>
      <c r="C54" s="681"/>
      <c r="D54" s="681"/>
      <c r="E54" s="789"/>
      <c r="F54" s="523"/>
      <c r="G54" s="523"/>
      <c r="H54" s="182"/>
      <c r="I54" s="524"/>
    </row>
    <row r="55" spans="1:9" ht="15" customHeight="1">
      <c r="A55" s="772" t="s">
        <v>520</v>
      </c>
      <c r="B55" s="681" t="s">
        <v>521</v>
      </c>
      <c r="C55" s="681"/>
      <c r="D55" s="681"/>
      <c r="E55" s="788">
        <v>326.7</v>
      </c>
      <c r="F55" s="523"/>
      <c r="G55" s="523"/>
      <c r="H55" s="182"/>
      <c r="I55" s="524"/>
    </row>
    <row r="56" spans="1:9">
      <c r="A56" s="772"/>
      <c r="B56" s="725" t="s">
        <v>522</v>
      </c>
      <c r="C56" s="725"/>
      <c r="D56" s="725"/>
      <c r="E56" s="790"/>
      <c r="F56" s="523"/>
      <c r="G56" s="523"/>
      <c r="H56" s="182"/>
      <c r="I56" s="524"/>
    </row>
    <row r="57" spans="1:9">
      <c r="A57" s="772"/>
      <c r="B57" s="725" t="s">
        <v>523</v>
      </c>
      <c r="C57" s="725"/>
      <c r="D57" s="725"/>
      <c r="E57" s="790"/>
      <c r="F57" s="523"/>
      <c r="G57" s="523"/>
      <c r="H57" s="182"/>
      <c r="I57" s="524"/>
    </row>
    <row r="58" spans="1:9">
      <c r="A58" s="772"/>
      <c r="B58" s="725" t="s">
        <v>524</v>
      </c>
      <c r="C58" s="725"/>
      <c r="D58" s="725"/>
      <c r="E58" s="789"/>
      <c r="F58" s="523"/>
      <c r="G58" s="523"/>
      <c r="H58" s="182"/>
      <c r="I58" s="524"/>
    </row>
    <row r="59" spans="1:9">
      <c r="A59" s="772" t="s">
        <v>525</v>
      </c>
      <c r="B59" s="725" t="s">
        <v>193</v>
      </c>
      <c r="C59" s="725"/>
      <c r="D59" s="725"/>
      <c r="E59" s="788">
        <v>206.4</v>
      </c>
      <c r="F59" s="523"/>
      <c r="G59" s="523"/>
      <c r="H59" s="182"/>
      <c r="I59" s="524"/>
    </row>
    <row r="60" spans="1:9" ht="15" customHeight="1">
      <c r="A60" s="772"/>
      <c r="B60" s="681" t="s">
        <v>526</v>
      </c>
      <c r="C60" s="681"/>
      <c r="D60" s="681"/>
      <c r="E60" s="790"/>
      <c r="F60" s="523"/>
      <c r="G60" s="523"/>
      <c r="H60" s="182"/>
      <c r="I60" s="524"/>
    </row>
    <row r="61" spans="1:9">
      <c r="A61" s="772"/>
      <c r="B61" s="725" t="s">
        <v>194</v>
      </c>
      <c r="C61" s="725"/>
      <c r="D61" s="725"/>
      <c r="E61" s="789"/>
      <c r="F61" s="523"/>
      <c r="G61" s="523"/>
      <c r="H61" s="182"/>
      <c r="I61" s="524"/>
    </row>
    <row r="62" spans="1:9" ht="15" customHeight="1">
      <c r="A62" s="772" t="s">
        <v>527</v>
      </c>
      <c r="B62" s="681" t="s">
        <v>528</v>
      </c>
      <c r="C62" s="681"/>
      <c r="D62" s="681"/>
      <c r="E62" s="788">
        <v>184.4</v>
      </c>
      <c r="F62" s="523"/>
      <c r="G62" s="523"/>
      <c r="H62" s="192"/>
      <c r="I62" s="524"/>
    </row>
    <row r="63" spans="1:9">
      <c r="A63" s="772"/>
      <c r="B63" s="725" t="s">
        <v>529</v>
      </c>
      <c r="C63" s="725"/>
      <c r="D63" s="725"/>
      <c r="E63" s="790"/>
      <c r="F63" s="523"/>
      <c r="G63" s="523"/>
      <c r="H63" s="192"/>
      <c r="I63" s="524"/>
    </row>
    <row r="64" spans="1:9">
      <c r="A64" s="772"/>
      <c r="B64" s="725" t="s">
        <v>530</v>
      </c>
      <c r="C64" s="725"/>
      <c r="D64" s="725"/>
      <c r="E64" s="789"/>
      <c r="F64" s="523"/>
      <c r="G64" s="523"/>
      <c r="H64" s="192"/>
      <c r="I64" s="524"/>
    </row>
    <row r="65" spans="1:9">
      <c r="A65" s="759" t="s">
        <v>213</v>
      </c>
      <c r="B65" s="759"/>
      <c r="C65" s="759"/>
      <c r="D65" s="759"/>
      <c r="E65" s="43">
        <f>SUM(E47:E64)</f>
        <v>1095.2</v>
      </c>
      <c r="F65" s="435"/>
      <c r="G65" s="123"/>
      <c r="H65" s="526"/>
      <c r="I65" s="414"/>
    </row>
    <row r="66" spans="1:9" s="193" customFormat="1">
      <c r="B66" s="797" t="s">
        <v>748</v>
      </c>
      <c r="C66" s="797"/>
      <c r="D66" s="797"/>
      <c r="E66" s="607">
        <f>E65*4.34</f>
        <v>4753.1679999999997</v>
      </c>
      <c r="F66" s="435"/>
      <c r="G66" s="123"/>
      <c r="H66" s="526"/>
      <c r="I66" s="414"/>
    </row>
    <row r="67" spans="1:9">
      <c r="A67" s="773"/>
      <c r="B67" s="773"/>
      <c r="C67" s="773"/>
      <c r="D67" s="773"/>
      <c r="E67" s="527"/>
      <c r="F67" s="216"/>
      <c r="G67" s="216"/>
      <c r="H67" s="216"/>
      <c r="I67" s="414"/>
    </row>
    <row r="68" spans="1:9" s="193" customFormat="1">
      <c r="A68" s="605" t="s">
        <v>743</v>
      </c>
      <c r="B68" s="791" t="s">
        <v>746</v>
      </c>
      <c r="C68" s="792"/>
      <c r="D68" s="793"/>
      <c r="E68" s="519">
        <v>400</v>
      </c>
      <c r="F68" s="414"/>
      <c r="G68" s="414"/>
      <c r="H68" s="414"/>
      <c r="I68" s="414"/>
    </row>
    <row r="69" spans="1:9" s="193" customFormat="1">
      <c r="A69" s="609"/>
      <c r="B69" s="794" t="s">
        <v>214</v>
      </c>
      <c r="C69" s="795"/>
      <c r="D69" s="796"/>
      <c r="E69" s="608">
        <f>E66+E68</f>
        <v>5153.1679999999997</v>
      </c>
      <c r="F69" s="414"/>
      <c r="G69" s="414"/>
      <c r="H69" s="414"/>
      <c r="I69" s="414"/>
    </row>
    <row r="70" spans="1:9" s="193" customFormat="1">
      <c r="A70" s="603" t="s">
        <v>742</v>
      </c>
      <c r="E70" s="606"/>
      <c r="F70" s="414"/>
      <c r="G70" s="414"/>
      <c r="H70" s="414"/>
      <c r="I70" s="414"/>
    </row>
    <row r="71" spans="1:9">
      <c r="B71" s="528"/>
      <c r="C71" s="528"/>
      <c r="D71" s="528"/>
      <c r="E71" s="529"/>
      <c r="F71" s="216"/>
      <c r="G71" s="216"/>
      <c r="H71" s="216"/>
      <c r="I71" s="414"/>
    </row>
    <row r="72" spans="1:9" s="193" customFormat="1" ht="24" customHeight="1">
      <c r="A72" s="598" t="s">
        <v>509</v>
      </c>
      <c r="B72" s="786" t="s">
        <v>184</v>
      </c>
      <c r="C72" s="786"/>
      <c r="D72" s="786"/>
      <c r="E72" s="599" t="s">
        <v>737</v>
      </c>
      <c r="F72" s="414"/>
      <c r="G72" s="414"/>
      <c r="H72" s="414"/>
      <c r="I72" s="414"/>
    </row>
    <row r="73" spans="1:9" s="193" customFormat="1">
      <c r="A73" s="600" t="s">
        <v>206</v>
      </c>
      <c r="B73" s="787" t="s">
        <v>738</v>
      </c>
      <c r="C73" s="787"/>
      <c r="D73" s="787"/>
      <c r="E73" s="601">
        <v>400</v>
      </c>
      <c r="F73" s="414"/>
      <c r="G73" s="414"/>
      <c r="H73" s="414"/>
      <c r="I73" s="414"/>
    </row>
    <row r="74" spans="1:9" s="193" customFormat="1">
      <c r="A74" s="192"/>
      <c r="B74" s="528"/>
      <c r="C74" s="528"/>
      <c r="D74" s="528"/>
      <c r="E74" s="529"/>
      <c r="F74" s="414"/>
      <c r="G74" s="414"/>
      <c r="H74" s="414"/>
      <c r="I74" s="414"/>
    </row>
    <row r="75" spans="1:9">
      <c r="A75" s="530" t="s">
        <v>531</v>
      </c>
      <c r="B75" s="193"/>
      <c r="C75" s="193"/>
      <c r="D75" s="216"/>
      <c r="E75" s="531"/>
      <c r="F75" s="216"/>
      <c r="G75" s="216"/>
      <c r="H75" s="216"/>
      <c r="I75" s="414"/>
    </row>
    <row r="76" spans="1:9" ht="24.75" customHeight="1">
      <c r="A76" s="774" t="s">
        <v>532</v>
      </c>
      <c r="B76" s="775"/>
      <c r="C76" s="775"/>
      <c r="D76" s="776"/>
      <c r="E76" s="88">
        <v>1</v>
      </c>
      <c r="F76" s="272" t="s">
        <v>533</v>
      </c>
      <c r="G76" s="21"/>
      <c r="H76" s="70"/>
      <c r="I76" s="21"/>
    </row>
    <row r="77" spans="1:9" ht="15" customHeight="1">
      <c r="A77" s="681" t="s">
        <v>534</v>
      </c>
      <c r="B77" s="681"/>
      <c r="C77" s="681"/>
      <c r="D77" s="681"/>
      <c r="E77" s="204">
        <f>E42/E76</f>
        <v>3.6363636363636362</v>
      </c>
      <c r="F77" s="272" t="s">
        <v>535</v>
      </c>
    </row>
    <row r="78" spans="1:9" ht="15" customHeight="1">
      <c r="A78" s="681" t="s">
        <v>223</v>
      </c>
      <c r="B78" s="681"/>
      <c r="C78" s="681"/>
      <c r="D78" s="681"/>
      <c r="E78" s="180">
        <f>E77/2</f>
        <v>1.8181818181818181</v>
      </c>
      <c r="F78" s="272" t="s">
        <v>536</v>
      </c>
    </row>
    <row r="79" spans="1:9">
      <c r="A79" s="725" t="s">
        <v>537</v>
      </c>
      <c r="B79" s="725"/>
      <c r="C79" s="725"/>
      <c r="D79" s="725"/>
      <c r="E79" s="532">
        <f>E77/E78</f>
        <v>2</v>
      </c>
      <c r="F79" s="272" t="s">
        <v>538</v>
      </c>
    </row>
    <row r="80" spans="1:9">
      <c r="A80" s="725" t="s">
        <v>539</v>
      </c>
      <c r="B80" s="725"/>
      <c r="C80" s="725"/>
      <c r="D80" s="725"/>
      <c r="E80" s="532">
        <v>1</v>
      </c>
      <c r="F80" s="272" t="s">
        <v>540</v>
      </c>
    </row>
    <row r="81" spans="1:9" ht="15" customHeight="1">
      <c r="A81" s="681" t="s">
        <v>541</v>
      </c>
      <c r="B81" s="681"/>
      <c r="C81" s="681"/>
      <c r="D81" s="681"/>
      <c r="E81" s="207">
        <f>E69/E79</f>
        <v>2576.5839999999998</v>
      </c>
      <c r="F81" s="272" t="s">
        <v>542</v>
      </c>
    </row>
    <row r="82" spans="1:9">
      <c r="A82" s="725" t="s">
        <v>543</v>
      </c>
      <c r="B82" s="725"/>
      <c r="C82" s="725"/>
      <c r="D82" s="725"/>
      <c r="E82" s="209">
        <f>E69/22</f>
        <v>234.23490909090907</v>
      </c>
      <c r="F82" s="272" t="s">
        <v>177</v>
      </c>
    </row>
    <row r="83" spans="1:9">
      <c r="A83" s="725" t="s">
        <v>544</v>
      </c>
      <c r="B83" s="725"/>
      <c r="C83" s="725"/>
      <c r="D83" s="725"/>
      <c r="E83" s="209">
        <f>E82/7.33/E79</f>
        <v>15.977824631030632</v>
      </c>
      <c r="F83" s="21" t="s">
        <v>545</v>
      </c>
    </row>
    <row r="84" spans="1:9">
      <c r="A84" s="271"/>
      <c r="B84" s="271"/>
      <c r="C84" s="271"/>
      <c r="D84" s="271"/>
      <c r="E84" s="533"/>
    </row>
    <row r="85" spans="1:9">
      <c r="A85" s="689" t="s">
        <v>546</v>
      </c>
      <c r="B85" s="689"/>
      <c r="C85" s="689"/>
      <c r="D85" s="689"/>
      <c r="E85" s="689"/>
      <c r="F85" s="689"/>
      <c r="G85" s="689"/>
      <c r="H85" s="689"/>
      <c r="I85" s="414"/>
    </row>
    <row r="86" spans="1:9">
      <c r="A86" s="21"/>
      <c r="B86" s="21"/>
      <c r="C86" s="21"/>
      <c r="D86" s="21"/>
      <c r="E86" s="21"/>
      <c r="F86" s="21"/>
      <c r="G86" s="21"/>
      <c r="H86" s="21"/>
      <c r="I86" s="21"/>
    </row>
    <row r="87" spans="1:9">
      <c r="A87" s="226" t="s">
        <v>547</v>
      </c>
      <c r="B87" s="226"/>
      <c r="C87" s="227"/>
      <c r="D87" s="227"/>
      <c r="E87" s="227"/>
      <c r="F87" s="227"/>
      <c r="G87" s="227"/>
      <c r="H87" s="227"/>
      <c r="I87" s="21"/>
    </row>
    <row r="88" spans="1:9" ht="36" customHeight="1">
      <c r="A88" s="727" t="s">
        <v>548</v>
      </c>
      <c r="B88" s="727"/>
      <c r="C88" s="727"/>
      <c r="D88" s="727"/>
      <c r="E88" s="727"/>
      <c r="F88" s="727"/>
      <c r="G88" s="727"/>
      <c r="H88" s="727"/>
      <c r="I88" s="137"/>
    </row>
    <row r="89" spans="1:9">
      <c r="A89" s="63"/>
      <c r="B89" s="63"/>
      <c r="C89" s="63"/>
      <c r="D89" s="63"/>
      <c r="E89" s="63"/>
      <c r="F89" s="63"/>
      <c r="G89" s="63"/>
      <c r="H89" s="63"/>
      <c r="I89" s="63"/>
    </row>
    <row r="90" spans="1:9">
      <c r="A90" s="226" t="s">
        <v>549</v>
      </c>
      <c r="B90" s="130"/>
      <c r="C90" s="130"/>
      <c r="D90" s="130"/>
      <c r="E90" s="130"/>
      <c r="F90" s="130"/>
      <c r="G90" s="130"/>
      <c r="H90" s="130"/>
      <c r="I90" s="130"/>
    </row>
    <row r="91" spans="1:9" ht="24" customHeight="1">
      <c r="A91" s="681" t="s">
        <v>550</v>
      </c>
      <c r="B91" s="681"/>
      <c r="C91" s="681"/>
      <c r="D91" s="681"/>
      <c r="E91" s="681"/>
      <c r="F91" s="681"/>
      <c r="G91" s="681"/>
      <c r="H91" s="681"/>
      <c r="I91" s="87"/>
    </row>
    <row r="92" spans="1:9">
      <c r="A92" s="130"/>
      <c r="B92" s="130"/>
      <c r="C92" s="130"/>
      <c r="D92" s="130"/>
      <c r="E92" s="130"/>
      <c r="F92" s="87"/>
      <c r="G92" s="87"/>
      <c r="H92" s="87"/>
      <c r="I92" s="87"/>
    </row>
    <row r="93" spans="1:9">
      <c r="A93" s="226" t="s">
        <v>551</v>
      </c>
      <c r="B93" s="113"/>
      <c r="C93" s="113"/>
      <c r="D93" s="113"/>
      <c r="E93" s="113"/>
      <c r="F93" s="84"/>
      <c r="G93" s="84"/>
      <c r="H93" s="84"/>
      <c r="I93" s="235"/>
    </row>
    <row r="94" spans="1:9">
      <c r="A94" s="753" t="s">
        <v>552</v>
      </c>
      <c r="B94" s="753"/>
      <c r="C94" s="534" t="s">
        <v>553</v>
      </c>
      <c r="D94" s="534" t="s">
        <v>554</v>
      </c>
      <c r="E94" s="534" t="s">
        <v>238</v>
      </c>
      <c r="F94" s="84"/>
      <c r="G94" s="84"/>
      <c r="H94" s="84"/>
      <c r="I94" s="235"/>
    </row>
    <row r="95" spans="1:9">
      <c r="A95" s="662" t="s">
        <v>555</v>
      </c>
      <c r="B95" s="662"/>
      <c r="C95" s="432">
        <v>2</v>
      </c>
      <c r="D95" s="432">
        <v>1</v>
      </c>
      <c r="E95" s="525">
        <f>C95+D95</f>
        <v>3</v>
      </c>
      <c r="F95" s="84"/>
      <c r="G95" s="84"/>
      <c r="H95" s="84"/>
      <c r="I95" s="235"/>
    </row>
    <row r="96" spans="1:9">
      <c r="A96" s="662" t="s">
        <v>556</v>
      </c>
      <c r="B96" s="662"/>
      <c r="C96" s="27">
        <v>1</v>
      </c>
      <c r="D96" s="27">
        <v>0</v>
      </c>
      <c r="E96" s="525">
        <f>C96+D96</f>
        <v>1</v>
      </c>
      <c r="F96" s="81"/>
      <c r="G96" s="81"/>
      <c r="H96" s="81"/>
      <c r="I96" s="81"/>
    </row>
    <row r="97" spans="1:9">
      <c r="A97" s="259"/>
      <c r="B97" s="259"/>
      <c r="C97" s="81"/>
      <c r="D97" s="81"/>
      <c r="E97" s="87"/>
      <c r="F97" s="81"/>
      <c r="G97" s="81"/>
      <c r="H97" s="81"/>
      <c r="I97" s="81"/>
    </row>
    <row r="98" spans="1:9">
      <c r="A98" s="689" t="s">
        <v>557</v>
      </c>
      <c r="B98" s="689"/>
      <c r="C98" s="689"/>
      <c r="D98" s="689"/>
      <c r="E98" s="689"/>
      <c r="F98" s="689"/>
      <c r="G98" s="689"/>
      <c r="H98" s="689"/>
      <c r="I98" s="81"/>
    </row>
    <row r="99" spans="1:9" ht="15" customHeight="1">
      <c r="A99" s="736" t="s">
        <v>558</v>
      </c>
      <c r="B99" s="736"/>
      <c r="C99" s="736"/>
      <c r="D99" s="736"/>
      <c r="E99" s="736"/>
      <c r="F99" s="736"/>
      <c r="G99" s="736"/>
      <c r="H99" s="736"/>
      <c r="I99" s="81"/>
    </row>
    <row r="100" spans="1:9" ht="24" customHeight="1">
      <c r="A100" s="745" t="s">
        <v>559</v>
      </c>
      <c r="B100" s="745"/>
      <c r="C100" s="745"/>
      <c r="D100" s="745"/>
      <c r="E100" s="745"/>
      <c r="F100" s="745"/>
      <c r="G100" s="745"/>
      <c r="H100" s="745"/>
      <c r="I100" s="81"/>
    </row>
    <row r="101" spans="1:9">
      <c r="A101" s="736" t="s">
        <v>560</v>
      </c>
      <c r="B101" s="736"/>
      <c r="C101" s="736"/>
      <c r="D101" s="736"/>
      <c r="E101" s="736"/>
      <c r="F101" s="736"/>
      <c r="G101" s="736"/>
      <c r="H101" s="736"/>
      <c r="I101" s="81"/>
    </row>
    <row r="102" spans="1:9">
      <c r="A102" s="271"/>
      <c r="B102" s="259"/>
      <c r="C102" s="81"/>
      <c r="D102" s="81"/>
      <c r="E102" s="87"/>
      <c r="F102" s="81"/>
      <c r="G102" s="81"/>
      <c r="H102" s="81"/>
      <c r="I102" s="81"/>
    </row>
    <row r="103" spans="1:9">
      <c r="A103" s="662" t="s">
        <v>430</v>
      </c>
      <c r="B103" s="662"/>
      <c r="C103" s="45" t="s">
        <v>561</v>
      </c>
      <c r="D103" s="45" t="s">
        <v>562</v>
      </c>
      <c r="E103" s="525" t="s">
        <v>554</v>
      </c>
      <c r="F103" s="45" t="s">
        <v>563</v>
      </c>
      <c r="G103" s="81"/>
      <c r="H103" s="81"/>
      <c r="I103" s="81"/>
    </row>
    <row r="104" spans="1:9">
      <c r="A104" s="725" t="s">
        <v>437</v>
      </c>
      <c r="B104" s="725"/>
      <c r="C104" s="27" t="s">
        <v>564</v>
      </c>
      <c r="D104" s="27">
        <v>4</v>
      </c>
      <c r="E104" s="535">
        <f>D104*0.2</f>
        <v>0.8</v>
      </c>
      <c r="F104" s="536">
        <v>5</v>
      </c>
      <c r="G104" s="81"/>
      <c r="H104" s="81"/>
      <c r="I104" s="81"/>
    </row>
    <row r="105" spans="1:9">
      <c r="A105" s="725" t="s">
        <v>490</v>
      </c>
      <c r="B105" s="725"/>
      <c r="C105" s="27" t="s">
        <v>564</v>
      </c>
      <c r="D105" s="27">
        <f>1*2</f>
        <v>2</v>
      </c>
      <c r="E105" s="535">
        <f>D105*0.2</f>
        <v>0.4</v>
      </c>
      <c r="F105" s="536">
        <v>2</v>
      </c>
      <c r="G105" s="81"/>
      <c r="H105" s="81"/>
      <c r="I105" s="81"/>
    </row>
    <row r="106" spans="1:9">
      <c r="A106" s="725" t="s">
        <v>132</v>
      </c>
      <c r="B106" s="725"/>
      <c r="C106" s="27" t="s">
        <v>564</v>
      </c>
      <c r="D106" s="27">
        <v>1</v>
      </c>
      <c r="E106" s="535">
        <v>0</v>
      </c>
      <c r="F106" s="536">
        <v>1</v>
      </c>
      <c r="G106" s="81"/>
      <c r="H106" s="81"/>
      <c r="I106" s="81"/>
    </row>
    <row r="107" spans="1:9">
      <c r="A107" s="271"/>
      <c r="B107" s="259"/>
      <c r="C107" s="81"/>
      <c r="D107" s="81"/>
      <c r="E107" s="87"/>
      <c r="F107" s="81"/>
      <c r="G107" s="81"/>
      <c r="H107" s="81"/>
      <c r="I107" s="81"/>
    </row>
    <row r="108" spans="1:9">
      <c r="A108" s="662" t="s">
        <v>430</v>
      </c>
      <c r="B108" s="662"/>
      <c r="C108" s="45" t="s">
        <v>561</v>
      </c>
      <c r="D108" s="45" t="s">
        <v>431</v>
      </c>
      <c r="E108" s="45" t="s">
        <v>432</v>
      </c>
      <c r="F108" s="525" t="s">
        <v>433</v>
      </c>
      <c r="G108" s="81"/>
      <c r="H108" s="81"/>
      <c r="I108" s="81"/>
    </row>
    <row r="109" spans="1:9">
      <c r="A109" s="725" t="s">
        <v>437</v>
      </c>
      <c r="B109" s="725"/>
      <c r="C109" s="27" t="s">
        <v>564</v>
      </c>
      <c r="D109" s="536">
        <f>F104</f>
        <v>5</v>
      </c>
      <c r="E109" s="46">
        <f>'Mão de obra'!C83</f>
        <v>4272.5267617805639</v>
      </c>
      <c r="F109" s="46">
        <f>D109*E109</f>
        <v>21362.633808902821</v>
      </c>
      <c r="G109" s="81"/>
      <c r="H109" s="81"/>
      <c r="I109" s="81"/>
    </row>
    <row r="110" spans="1:9">
      <c r="A110" s="725" t="s">
        <v>490</v>
      </c>
      <c r="B110" s="725"/>
      <c r="C110" s="27" t="s">
        <v>564</v>
      </c>
      <c r="D110" s="536">
        <f>F105</f>
        <v>2</v>
      </c>
      <c r="E110" s="46">
        <f>'Mão de obra'!C163</f>
        <v>7650.0398713429486</v>
      </c>
      <c r="F110" s="46">
        <f>D110*E110</f>
        <v>15300.079742685897</v>
      </c>
      <c r="G110" s="81"/>
      <c r="H110" s="81"/>
      <c r="I110" s="81"/>
    </row>
    <row r="111" spans="1:9">
      <c r="A111" s="725" t="s">
        <v>132</v>
      </c>
      <c r="B111" s="725"/>
      <c r="C111" s="27" t="s">
        <v>564</v>
      </c>
      <c r="D111" s="536">
        <v>1</v>
      </c>
      <c r="E111" s="46">
        <f>'Mão de obra'!C243</f>
        <v>7650.0398713429486</v>
      </c>
      <c r="F111" s="46">
        <f>D111*E111</f>
        <v>7650.0398713429486</v>
      </c>
      <c r="G111" s="81"/>
      <c r="H111" s="81"/>
      <c r="I111" s="81"/>
    </row>
    <row r="112" spans="1:9">
      <c r="A112" s="773" t="s">
        <v>423</v>
      </c>
      <c r="B112" s="773"/>
      <c r="C112" s="773"/>
      <c r="D112" s="773"/>
      <c r="E112" s="773"/>
      <c r="F112" s="79">
        <f>SUM(F109:F111)</f>
        <v>44312.753422931666</v>
      </c>
      <c r="G112" s="81"/>
      <c r="H112" s="81"/>
      <c r="I112" s="81"/>
    </row>
    <row r="113" spans="1:9">
      <c r="A113" s="395"/>
      <c r="B113" s="395"/>
      <c r="C113" s="395"/>
      <c r="D113" s="395"/>
      <c r="E113" s="395"/>
      <c r="F113" s="102"/>
      <c r="G113" s="81"/>
      <c r="H113" s="81"/>
      <c r="I113" s="81"/>
    </row>
    <row r="114" spans="1:9" ht="60" customHeight="1">
      <c r="A114" s="756" t="s">
        <v>565</v>
      </c>
      <c r="B114" s="756"/>
      <c r="C114" s="756"/>
      <c r="D114" s="756"/>
      <c r="E114" s="756"/>
      <c r="F114" s="756"/>
      <c r="G114" s="756"/>
      <c r="H114" s="756"/>
      <c r="I114" s="81"/>
    </row>
    <row r="115" spans="1:9">
      <c r="A115" s="395"/>
      <c r="B115" s="395"/>
      <c r="C115" s="395"/>
      <c r="D115" s="395"/>
      <c r="E115" s="395"/>
      <c r="F115" s="102"/>
      <c r="G115" s="81"/>
      <c r="H115" s="81"/>
      <c r="I115" s="81"/>
    </row>
    <row r="116" spans="1:9">
      <c r="A116" s="769" t="s">
        <v>566</v>
      </c>
      <c r="B116" s="769"/>
      <c r="C116" s="769"/>
      <c r="D116" s="769"/>
      <c r="E116" s="769"/>
      <c r="F116" s="769"/>
      <c r="G116" s="769"/>
      <c r="H116" s="769"/>
      <c r="I116" s="113"/>
    </row>
    <row r="117" spans="1:9">
      <c r="A117" s="21"/>
      <c r="B117" s="21"/>
      <c r="C117" s="21"/>
      <c r="D117" s="21"/>
      <c r="E117" s="21"/>
      <c r="F117" s="21"/>
      <c r="G117" s="21"/>
      <c r="H117" s="21"/>
      <c r="I117" s="21"/>
    </row>
    <row r="118" spans="1:9">
      <c r="A118" s="689" t="s">
        <v>567</v>
      </c>
      <c r="B118" s="689"/>
      <c r="C118" s="689"/>
      <c r="D118" s="689"/>
      <c r="E118" s="689"/>
      <c r="F118" s="689"/>
      <c r="G118" s="689"/>
      <c r="H118" s="689"/>
      <c r="I118" s="21"/>
    </row>
    <row r="119" spans="1:9">
      <c r="I119" s="21"/>
    </row>
    <row r="120" spans="1:9">
      <c r="A120" s="769" t="s">
        <v>249</v>
      </c>
      <c r="B120" s="769"/>
      <c r="C120" s="769"/>
      <c r="D120" s="769"/>
      <c r="E120" s="777" t="s">
        <v>250</v>
      </c>
      <c r="F120" s="777"/>
      <c r="G120" s="231" t="s">
        <v>251</v>
      </c>
      <c r="H120" s="777" t="s">
        <v>238</v>
      </c>
      <c r="I120" s="130"/>
    </row>
    <row r="121" spans="1:9">
      <c r="A121" s="769"/>
      <c r="B121" s="769"/>
      <c r="C121" s="769"/>
      <c r="D121" s="769"/>
      <c r="E121" s="537" t="s">
        <v>252</v>
      </c>
      <c r="F121" s="537" t="s">
        <v>253</v>
      </c>
      <c r="G121" s="538" t="s">
        <v>253</v>
      </c>
      <c r="H121" s="777"/>
      <c r="I121" s="113"/>
    </row>
    <row r="122" spans="1:9" ht="15" customHeight="1">
      <c r="A122" s="681" t="s">
        <v>254</v>
      </c>
      <c r="B122" s="681"/>
      <c r="C122" s="681"/>
      <c r="D122" s="681"/>
      <c r="E122" s="151">
        <f>F122/F139</f>
        <v>2685.5366948571427</v>
      </c>
      <c r="F122" s="240">
        <f>E157</f>
        <v>5371.0733897142854</v>
      </c>
      <c r="G122" s="241">
        <v>0</v>
      </c>
      <c r="H122" s="241">
        <f t="shared" ref="H122:H130" si="0">F122+G122</f>
        <v>5371.0733897142854</v>
      </c>
      <c r="I122" s="242"/>
    </row>
    <row r="123" spans="1:9" ht="15" customHeight="1">
      <c r="A123" s="681" t="s">
        <v>255</v>
      </c>
      <c r="B123" s="681"/>
      <c r="C123" s="681"/>
      <c r="D123" s="681"/>
      <c r="E123" s="151">
        <f>F123/F139</f>
        <v>1527.8700000000001</v>
      </c>
      <c r="F123" s="240">
        <f>F165</f>
        <v>3055.7400000000002</v>
      </c>
      <c r="G123" s="241">
        <v>0</v>
      </c>
      <c r="H123" s="241">
        <f t="shared" si="0"/>
        <v>3055.7400000000002</v>
      </c>
      <c r="I123" s="242"/>
    </row>
    <row r="124" spans="1:9">
      <c r="A124" s="725" t="s">
        <v>256</v>
      </c>
      <c r="B124" s="725"/>
      <c r="C124" s="725"/>
      <c r="D124" s="725"/>
      <c r="E124" s="151">
        <f>F124/F139</f>
        <v>280.63294066666663</v>
      </c>
      <c r="F124" s="240">
        <f>F180</f>
        <v>561.26588133333325</v>
      </c>
      <c r="G124" s="241">
        <v>0</v>
      </c>
      <c r="H124" s="241">
        <f t="shared" si="0"/>
        <v>561.26588133333325</v>
      </c>
      <c r="I124" s="242"/>
    </row>
    <row r="125" spans="1:9">
      <c r="A125" s="725" t="s">
        <v>257</v>
      </c>
      <c r="B125" s="725"/>
      <c r="C125" s="725"/>
      <c r="D125" s="725"/>
      <c r="E125" s="151">
        <f>F125/F139</f>
        <v>180.62595323617774</v>
      </c>
      <c r="F125" s="240">
        <f>F182</f>
        <v>361.25190647235547</v>
      </c>
      <c r="G125" s="241">
        <v>0</v>
      </c>
      <c r="H125" s="241">
        <f t="shared" si="0"/>
        <v>361.25190647235547</v>
      </c>
      <c r="I125" s="242"/>
    </row>
    <row r="126" spans="1:9">
      <c r="A126" s="725" t="s">
        <v>258</v>
      </c>
      <c r="B126" s="725"/>
      <c r="C126" s="725"/>
      <c r="D126" s="725"/>
      <c r="E126" s="151">
        <f>F126/F139</f>
        <v>651</v>
      </c>
      <c r="F126" s="240">
        <f>F222</f>
        <v>1302</v>
      </c>
      <c r="G126" s="241">
        <v>0</v>
      </c>
      <c r="H126" s="241">
        <f t="shared" si="0"/>
        <v>1302</v>
      </c>
      <c r="I126" s="242"/>
    </row>
    <row r="127" spans="1:9">
      <c r="A127" s="725" t="s">
        <v>259</v>
      </c>
      <c r="B127" s="725"/>
      <c r="C127" s="725"/>
      <c r="D127" s="725"/>
      <c r="E127" s="151">
        <f>F127/F139</f>
        <v>688.18875000000014</v>
      </c>
      <c r="F127" s="244">
        <f>F233</f>
        <v>1376.3775000000003</v>
      </c>
      <c r="G127" s="245">
        <f>G233</f>
        <v>578.51874999999995</v>
      </c>
      <c r="H127" s="241">
        <f t="shared" si="0"/>
        <v>1954.8962500000002</v>
      </c>
      <c r="I127" s="246"/>
    </row>
    <row r="128" spans="1:9">
      <c r="A128" s="725" t="s">
        <v>260</v>
      </c>
      <c r="B128" s="725"/>
      <c r="C128" s="725"/>
      <c r="D128" s="725"/>
      <c r="E128" s="151">
        <f>F128/F139</f>
        <v>5217.9000000000005</v>
      </c>
      <c r="F128" s="244">
        <f>F235</f>
        <v>10435.800000000001</v>
      </c>
      <c r="G128" s="245">
        <v>0</v>
      </c>
      <c r="H128" s="241">
        <f t="shared" si="0"/>
        <v>10435.800000000001</v>
      </c>
      <c r="I128" s="246"/>
    </row>
    <row r="129" spans="1:9">
      <c r="A129" s="725" t="s">
        <v>261</v>
      </c>
      <c r="B129" s="725"/>
      <c r="C129" s="725"/>
      <c r="D129" s="725"/>
      <c r="E129" s="151">
        <f>F272</f>
        <v>203.71599999999998</v>
      </c>
      <c r="F129" s="244">
        <f>F273</f>
        <v>407.43199999999996</v>
      </c>
      <c r="G129" s="245">
        <v>0</v>
      </c>
      <c r="H129" s="241">
        <f t="shared" si="0"/>
        <v>407.43199999999996</v>
      </c>
      <c r="I129" s="246"/>
    </row>
    <row r="130" spans="1:9">
      <c r="A130" s="725" t="s">
        <v>262</v>
      </c>
      <c r="B130" s="725"/>
      <c r="C130" s="725"/>
      <c r="D130" s="725"/>
      <c r="E130" s="151">
        <f>G279</f>
        <v>75</v>
      </c>
      <c r="F130" s="244">
        <f>G279*F139</f>
        <v>150</v>
      </c>
      <c r="G130" s="245">
        <f>E130</f>
        <v>75</v>
      </c>
      <c r="H130" s="241">
        <f t="shared" si="0"/>
        <v>225</v>
      </c>
      <c r="I130" s="246"/>
    </row>
    <row r="131" spans="1:9">
      <c r="A131" s="689" t="s">
        <v>263</v>
      </c>
      <c r="B131" s="689"/>
      <c r="C131" s="689"/>
      <c r="D131" s="689"/>
      <c r="E131" s="247">
        <f>SUM(E122:E130)</f>
        <v>11510.470338759987</v>
      </c>
      <c r="F131" s="248">
        <f>SUM(F122:F130)</f>
        <v>23020.940677519975</v>
      </c>
      <c r="G131" s="248">
        <f>SUM(G122:G130)</f>
        <v>653.51874999999995</v>
      </c>
      <c r="H131" s="248">
        <f>SUM(H122:H130)</f>
        <v>23674.459427519974</v>
      </c>
      <c r="I131" s="249"/>
    </row>
    <row r="132" spans="1:9">
      <c r="A132" s="126"/>
      <c r="B132" s="126"/>
      <c r="C132" s="126"/>
      <c r="D132" s="126"/>
      <c r="E132" s="250"/>
      <c r="F132" s="249"/>
      <c r="G132" s="249"/>
      <c r="H132" s="249"/>
      <c r="I132" s="249"/>
    </row>
    <row r="133" spans="1:9">
      <c r="A133" s="778" t="s">
        <v>568</v>
      </c>
      <c r="B133" s="778"/>
      <c r="C133" s="778"/>
      <c r="D133" s="778"/>
      <c r="E133" s="778"/>
      <c r="F133" s="778"/>
      <c r="G133" s="778"/>
      <c r="H133" s="778"/>
      <c r="I133" s="539"/>
    </row>
    <row r="134" spans="1:9">
      <c r="A134" s="251"/>
      <c r="B134" s="251"/>
      <c r="C134" s="251"/>
      <c r="D134" s="251"/>
      <c r="E134" s="251"/>
      <c r="F134" s="251"/>
      <c r="G134" s="251"/>
      <c r="H134" s="251"/>
      <c r="I134" s="251"/>
    </row>
    <row r="135" spans="1:9">
      <c r="A135" s="227" t="s">
        <v>265</v>
      </c>
      <c r="B135" s="227"/>
      <c r="C135" s="21"/>
      <c r="D135" s="21"/>
      <c r="E135" s="21"/>
      <c r="F135" s="21"/>
      <c r="G135" s="21"/>
      <c r="H135" s="21"/>
      <c r="I135" s="21"/>
    </row>
    <row r="136" spans="1:9">
      <c r="A136" s="683" t="s">
        <v>569</v>
      </c>
      <c r="B136" s="683"/>
      <c r="C136" s="683"/>
      <c r="D136" s="683"/>
      <c r="E136" s="683"/>
      <c r="F136" s="252">
        <f>F137+F138</f>
        <v>152787</v>
      </c>
      <c r="G136" s="21"/>
      <c r="H136" s="21"/>
      <c r="I136" s="21"/>
    </row>
    <row r="137" spans="1:9">
      <c r="A137" s="732" t="s">
        <v>570</v>
      </c>
      <c r="B137" s="732"/>
      <c r="C137" s="732"/>
      <c r="D137" s="732"/>
      <c r="E137" s="732"/>
      <c r="F137" s="253">
        <v>15000</v>
      </c>
      <c r="G137" s="21"/>
      <c r="H137" s="21"/>
      <c r="I137" s="21"/>
    </row>
    <row r="138" spans="1:9">
      <c r="A138" s="733" t="s">
        <v>267</v>
      </c>
      <c r="B138" s="733"/>
      <c r="C138" s="733"/>
      <c r="D138" s="733"/>
      <c r="E138" s="733"/>
      <c r="F138" s="629">
        <v>137787</v>
      </c>
      <c r="G138" s="21"/>
      <c r="H138" s="21"/>
      <c r="I138" s="21"/>
    </row>
    <row r="139" spans="1:9">
      <c r="A139" s="679" t="s">
        <v>268</v>
      </c>
      <c r="B139" s="679"/>
      <c r="C139" s="679"/>
      <c r="D139" s="679"/>
      <c r="E139" s="679"/>
      <c r="F139" s="254">
        <v>2</v>
      </c>
      <c r="G139" s="21"/>
      <c r="H139" s="21"/>
      <c r="I139" s="255"/>
    </row>
    <row r="140" spans="1:9">
      <c r="A140" s="679" t="s">
        <v>269</v>
      </c>
      <c r="B140" s="679"/>
      <c r="C140" s="679"/>
      <c r="D140" s="679"/>
      <c r="E140" s="679"/>
      <c r="F140" s="88">
        <v>1</v>
      </c>
      <c r="G140" s="21"/>
      <c r="H140" s="21"/>
      <c r="I140" s="21"/>
    </row>
    <row r="141" spans="1:9">
      <c r="A141" s="679" t="s">
        <v>571</v>
      </c>
      <c r="B141" s="679"/>
      <c r="C141" s="679"/>
      <c r="D141" s="679"/>
      <c r="E141" s="679"/>
      <c r="F141" s="256">
        <f>E69</f>
        <v>5153.1679999999997</v>
      </c>
      <c r="G141" s="21"/>
      <c r="H141" s="21"/>
      <c r="I141" s="21"/>
    </row>
    <row r="142" spans="1:9">
      <c r="A142" s="156" t="s">
        <v>733</v>
      </c>
      <c r="B142" s="21"/>
      <c r="C142" s="93"/>
      <c r="D142" s="93"/>
      <c r="E142" s="93"/>
      <c r="F142" s="257"/>
      <c r="G142" s="21"/>
      <c r="H142" s="21"/>
      <c r="I142" s="21"/>
    </row>
    <row r="143" spans="1:9">
      <c r="A143" s="21"/>
      <c r="B143" s="21"/>
      <c r="C143" s="93"/>
      <c r="D143" s="93"/>
      <c r="E143" s="93"/>
      <c r="F143" s="257"/>
      <c r="G143" s="21"/>
      <c r="H143" s="21"/>
      <c r="I143" s="21"/>
    </row>
    <row r="144" spans="1:9">
      <c r="A144" s="258" t="s">
        <v>270</v>
      </c>
      <c r="B144" s="258"/>
      <c r="C144" s="259"/>
      <c r="D144" s="259"/>
      <c r="E144" s="259"/>
      <c r="F144" s="259"/>
      <c r="G144" s="260"/>
      <c r="H144" s="21"/>
      <c r="I144" s="21"/>
    </row>
    <row r="145" spans="1:9">
      <c r="A145" s="683" t="s">
        <v>271</v>
      </c>
      <c r="B145" s="683"/>
      <c r="C145" s="683"/>
      <c r="D145" s="683"/>
      <c r="E145" s="683"/>
      <c r="F145" s="252">
        <f>F146+F147</f>
        <v>128859</v>
      </c>
      <c r="G145" s="260"/>
      <c r="H145" s="21"/>
      <c r="I145" s="21"/>
    </row>
    <row r="146" spans="1:9">
      <c r="A146" s="732" t="s">
        <v>570</v>
      </c>
      <c r="B146" s="732"/>
      <c r="C146" s="732"/>
      <c r="D146" s="732"/>
      <c r="E146" s="732"/>
      <c r="F146" s="253">
        <v>15000</v>
      </c>
      <c r="G146" s="260"/>
      <c r="H146" s="21"/>
      <c r="I146" s="21"/>
    </row>
    <row r="147" spans="1:9">
      <c r="A147" s="733" t="s">
        <v>267</v>
      </c>
      <c r="B147" s="733"/>
      <c r="C147" s="733"/>
      <c r="D147" s="733"/>
      <c r="E147" s="733"/>
      <c r="F147" s="629">
        <v>113859</v>
      </c>
      <c r="G147" s="21"/>
      <c r="H147" s="21"/>
      <c r="I147" s="21"/>
    </row>
    <row r="148" spans="1:9">
      <c r="A148" s="679" t="s">
        <v>268</v>
      </c>
      <c r="B148" s="679"/>
      <c r="C148" s="679"/>
      <c r="D148" s="679"/>
      <c r="E148" s="679"/>
      <c r="F148" s="254">
        <v>1</v>
      </c>
      <c r="G148" s="21"/>
      <c r="H148" s="261"/>
      <c r="I148" s="21"/>
    </row>
    <row r="149" spans="1:9">
      <c r="A149" s="156" t="s">
        <v>734</v>
      </c>
      <c r="B149" s="21"/>
      <c r="C149" s="93"/>
      <c r="D149" s="93"/>
      <c r="E149" s="93"/>
      <c r="F149" s="262"/>
      <c r="G149" s="21"/>
      <c r="H149" s="263"/>
      <c r="I149" s="21"/>
    </row>
    <row r="150" spans="1:9">
      <c r="A150" s="21"/>
      <c r="B150" s="21"/>
      <c r="C150" s="93"/>
      <c r="D150" s="93"/>
      <c r="E150" s="93"/>
      <c r="F150" s="262"/>
      <c r="G150" s="21"/>
      <c r="H150" s="263"/>
      <c r="I150" s="21"/>
    </row>
    <row r="151" spans="1:9">
      <c r="A151" s="1" t="s">
        <v>384</v>
      </c>
      <c r="B151" s="1"/>
      <c r="C151" s="21"/>
      <c r="D151" s="21"/>
      <c r="E151" s="21"/>
      <c r="F151" s="734">
        <f>E157</f>
        <v>5371.0733897142854</v>
      </c>
      <c r="G151" s="734"/>
      <c r="H151" s="21"/>
      <c r="I151" s="21"/>
    </row>
    <row r="152" spans="1:9">
      <c r="A152" s="156" t="s">
        <v>727</v>
      </c>
      <c r="B152" s="21"/>
      <c r="C152" s="21"/>
      <c r="D152" s="21"/>
      <c r="E152" s="21"/>
      <c r="F152" s="21"/>
      <c r="G152" s="21"/>
      <c r="H152" s="21"/>
      <c r="I152" s="21"/>
    </row>
    <row r="153" spans="1:9">
      <c r="A153" s="156" t="s">
        <v>728</v>
      </c>
      <c r="B153" s="21"/>
      <c r="C153" s="21"/>
      <c r="D153" s="21"/>
      <c r="E153" s="21"/>
      <c r="F153" s="21"/>
      <c r="G153" s="21"/>
      <c r="H153" s="21"/>
      <c r="I153" s="21"/>
    </row>
    <row r="154" spans="1:9">
      <c r="A154" s="679" t="s">
        <v>273</v>
      </c>
      <c r="B154" s="679"/>
      <c r="C154" s="679"/>
      <c r="D154" s="679"/>
      <c r="E154" s="622">
        <v>3.6480000000000001</v>
      </c>
      <c r="F154" s="21"/>
      <c r="G154" s="21"/>
      <c r="H154" s="21"/>
      <c r="I154" s="21"/>
    </row>
    <row r="155" spans="1:9">
      <c r="A155" s="679" t="s">
        <v>274</v>
      </c>
      <c r="B155" s="679"/>
      <c r="C155" s="679"/>
      <c r="D155" s="679"/>
      <c r="E155" s="623">
        <v>3.5</v>
      </c>
      <c r="F155" s="21"/>
      <c r="G155" s="21"/>
      <c r="H155" s="21"/>
      <c r="I155" s="21"/>
    </row>
    <row r="156" spans="1:9">
      <c r="A156" s="679" t="s">
        <v>275</v>
      </c>
      <c r="B156" s="679"/>
      <c r="C156" s="679"/>
      <c r="D156" s="679"/>
      <c r="E156" s="47">
        <f>F141/E155</f>
        <v>1472.3337142857142</v>
      </c>
      <c r="F156" s="21"/>
      <c r="G156" s="21"/>
      <c r="H156" s="21"/>
      <c r="I156" s="21"/>
    </row>
    <row r="157" spans="1:9">
      <c r="A157" s="662" t="s">
        <v>276</v>
      </c>
      <c r="B157" s="662"/>
      <c r="C157" s="662"/>
      <c r="D157" s="662"/>
      <c r="E157" s="264">
        <f>E156*E154</f>
        <v>5371.0733897142854</v>
      </c>
      <c r="F157" s="21"/>
      <c r="G157" s="21"/>
      <c r="H157" s="21"/>
      <c r="I157" s="21"/>
    </row>
    <row r="158" spans="1:9">
      <c r="A158" s="662" t="s">
        <v>277</v>
      </c>
      <c r="B158" s="662"/>
      <c r="C158" s="662"/>
      <c r="D158" s="662"/>
      <c r="E158" s="264">
        <f>E157/F139</f>
        <v>2685.5366948571427</v>
      </c>
      <c r="F158" s="21"/>
      <c r="G158" s="21"/>
      <c r="H158" s="21"/>
      <c r="I158" s="21"/>
    </row>
    <row r="159" spans="1:9">
      <c r="A159" s="21"/>
      <c r="B159" s="21"/>
      <c r="C159" s="21"/>
      <c r="D159" s="21"/>
      <c r="E159" s="21"/>
      <c r="F159" s="21"/>
      <c r="G159" s="21"/>
      <c r="H159" s="21"/>
      <c r="I159" s="21"/>
    </row>
    <row r="160" spans="1:9">
      <c r="A160" s="1" t="s">
        <v>572</v>
      </c>
      <c r="B160" s="1"/>
      <c r="C160" s="21"/>
      <c r="D160" s="21"/>
      <c r="E160" s="21"/>
      <c r="F160" s="734">
        <f>F165</f>
        <v>3055.7400000000002</v>
      </c>
      <c r="G160" s="734"/>
      <c r="H160" s="21"/>
      <c r="I160" s="21"/>
    </row>
    <row r="161" spans="1:9">
      <c r="A161" s="21"/>
      <c r="B161" s="21"/>
      <c r="C161" s="21"/>
      <c r="D161" s="21"/>
      <c r="E161" s="21"/>
      <c r="F161" s="21"/>
      <c r="G161" s="21"/>
      <c r="H161" s="21"/>
      <c r="I161" s="21"/>
    </row>
    <row r="162" spans="1:9">
      <c r="A162" s="679" t="s">
        <v>279</v>
      </c>
      <c r="B162" s="679"/>
      <c r="C162" s="679"/>
      <c r="D162" s="679"/>
      <c r="E162" s="679"/>
      <c r="F162" s="265">
        <f>F136</f>
        <v>152787</v>
      </c>
      <c r="G162" s="21"/>
      <c r="H162" s="21"/>
      <c r="I162" s="21"/>
    </row>
    <row r="163" spans="1:9" ht="27" customHeight="1">
      <c r="A163" s="735" t="s">
        <v>280</v>
      </c>
      <c r="B163" s="735"/>
      <c r="C163" s="735"/>
      <c r="D163" s="735"/>
      <c r="E163" s="735"/>
      <c r="F163" s="266">
        <v>0.01</v>
      </c>
      <c r="G163" s="267"/>
      <c r="H163" s="63"/>
      <c r="I163" s="63"/>
    </row>
    <row r="164" spans="1:9">
      <c r="A164" s="683" t="s">
        <v>281</v>
      </c>
      <c r="B164" s="683"/>
      <c r="C164" s="683"/>
      <c r="D164" s="683"/>
      <c r="E164" s="683"/>
      <c r="F164" s="268">
        <f>F162*F163</f>
        <v>1527.8700000000001</v>
      </c>
      <c r="G164" s="21"/>
      <c r="H164" s="21"/>
      <c r="I164" s="21"/>
    </row>
    <row r="165" spans="1:9">
      <c r="A165" s="662" t="s">
        <v>282</v>
      </c>
      <c r="B165" s="662"/>
      <c r="C165" s="662"/>
      <c r="D165" s="662"/>
      <c r="E165" s="662"/>
      <c r="F165" s="269">
        <f>F164*F139</f>
        <v>3055.7400000000002</v>
      </c>
      <c r="G165" s="270"/>
      <c r="H165" s="21"/>
      <c r="I165" s="21"/>
    </row>
    <row r="166" spans="1:9">
      <c r="A166" s="186"/>
      <c r="B166" s="186"/>
      <c r="C166" s="186"/>
      <c r="D166" s="186"/>
      <c r="E166" s="186"/>
      <c r="F166" s="186"/>
      <c r="G166" s="186"/>
      <c r="H166" s="186"/>
      <c r="I166" s="186"/>
    </row>
    <row r="167" spans="1:9">
      <c r="A167" s="1" t="s">
        <v>388</v>
      </c>
      <c r="B167" s="1"/>
      <c r="C167" s="21"/>
      <c r="D167" s="21"/>
      <c r="E167" s="21"/>
      <c r="F167" s="734">
        <f>F180</f>
        <v>561.26588133333325</v>
      </c>
      <c r="G167" s="734"/>
      <c r="H167" s="21"/>
      <c r="I167" s="21"/>
    </row>
    <row r="168" spans="1:9">
      <c r="A168" s="736" t="s">
        <v>573</v>
      </c>
      <c r="B168" s="736"/>
      <c r="C168" s="736"/>
      <c r="D168" s="736"/>
      <c r="E168" s="736"/>
      <c r="F168" s="736"/>
      <c r="G168" s="736"/>
      <c r="H168" s="21"/>
      <c r="I168" s="21"/>
    </row>
    <row r="169" spans="1:9" ht="24" customHeight="1">
      <c r="A169" s="736" t="s">
        <v>285</v>
      </c>
      <c r="B169" s="736"/>
      <c r="C169" s="736"/>
      <c r="D169" s="540">
        <v>929.5</v>
      </c>
      <c r="E169" s="363">
        <f>(849.96+762.67+750.54+730.34+699+666.74)/6</f>
        <v>743.20833333333337</v>
      </c>
      <c r="F169" s="745" t="s">
        <v>574</v>
      </c>
      <c r="G169" s="745"/>
      <c r="H169" s="745"/>
      <c r="I169" s="21"/>
    </row>
    <row r="170" spans="1:9" ht="15" customHeight="1">
      <c r="A170" s="186" t="s">
        <v>286</v>
      </c>
      <c r="B170" s="186"/>
      <c r="C170" s="186"/>
      <c r="F170" s="779" t="s">
        <v>575</v>
      </c>
      <c r="G170" s="779"/>
      <c r="H170" s="779"/>
      <c r="I170" s="21"/>
    </row>
    <row r="171" spans="1:9">
      <c r="A171" s="736" t="s">
        <v>287</v>
      </c>
      <c r="B171" s="736"/>
      <c r="C171" s="736"/>
      <c r="D171" s="270">
        <v>2</v>
      </c>
      <c r="E171" s="272"/>
      <c r="F171" s="272"/>
      <c r="G171" s="272"/>
      <c r="H171" s="272"/>
      <c r="I171" s="21"/>
    </row>
    <row r="172" spans="1:9">
      <c r="A172" s="736" t="s">
        <v>288</v>
      </c>
      <c r="B172" s="736"/>
      <c r="C172" s="736"/>
      <c r="D172" s="270">
        <v>6</v>
      </c>
      <c r="E172" s="272"/>
      <c r="F172" s="272"/>
      <c r="G172" s="272"/>
      <c r="H172" s="272"/>
      <c r="I172" s="173"/>
    </row>
    <row r="173" spans="1:9">
      <c r="A173" s="186" t="s">
        <v>576</v>
      </c>
      <c r="B173" s="186"/>
      <c r="C173" s="186"/>
      <c r="D173" s="186"/>
      <c r="E173" s="186"/>
      <c r="F173" s="186"/>
      <c r="G173" s="186"/>
      <c r="H173" s="21"/>
      <c r="I173" s="21"/>
    </row>
    <row r="174" spans="1:9">
      <c r="A174" s="736" t="s">
        <v>290</v>
      </c>
      <c r="B174" s="736"/>
      <c r="C174" s="736"/>
      <c r="D174" s="418">
        <v>479</v>
      </c>
      <c r="E174" s="273"/>
      <c r="F174" s="274"/>
      <c r="G174" s="273"/>
      <c r="H174" s="192"/>
      <c r="I174" s="21"/>
    </row>
    <row r="175" spans="1:9">
      <c r="A175" s="275" t="s">
        <v>291</v>
      </c>
      <c r="B175" s="275"/>
      <c r="C175" s="275"/>
      <c r="D175" s="275"/>
      <c r="E175" s="275"/>
      <c r="F175" s="275"/>
      <c r="G175" s="275"/>
      <c r="H175" s="271"/>
      <c r="I175" s="21"/>
    </row>
    <row r="176" spans="1:9">
      <c r="A176" s="736" t="s">
        <v>292</v>
      </c>
      <c r="B176" s="736"/>
      <c r="C176" s="736"/>
      <c r="D176" s="736"/>
      <c r="E176" s="736"/>
      <c r="F176" s="736"/>
      <c r="G176" s="736"/>
      <c r="H176" s="192"/>
      <c r="I176" s="21"/>
    </row>
    <row r="177" spans="1:9">
      <c r="A177" s="736" t="s">
        <v>735</v>
      </c>
      <c r="B177" s="736"/>
      <c r="C177" s="736"/>
      <c r="D177" s="736"/>
      <c r="E177" s="630">
        <f>(6*D169+2*D174)/(20000+2*20000)</f>
        <v>0.10891666666666666</v>
      </c>
      <c r="F177" s="21"/>
      <c r="G177" s="94"/>
      <c r="H177" s="192"/>
      <c r="I177" s="21"/>
    </row>
    <row r="178" spans="1:9">
      <c r="A178" s="21"/>
      <c r="B178" s="21"/>
      <c r="C178" s="21"/>
      <c r="D178" s="21"/>
      <c r="E178" s="21"/>
      <c r="F178" s="21"/>
      <c r="G178" s="21"/>
      <c r="H178" s="21"/>
      <c r="I178" s="21"/>
    </row>
    <row r="179" spans="1:9">
      <c r="A179" s="737" t="s">
        <v>293</v>
      </c>
      <c r="B179" s="737"/>
      <c r="C179" s="737"/>
      <c r="D179" s="737"/>
      <c r="E179" s="737"/>
      <c r="F179" s="252">
        <f>E177*E81</f>
        <v>280.63294066666663</v>
      </c>
      <c r="G179" s="277"/>
      <c r="H179" s="21"/>
      <c r="I179" s="21"/>
    </row>
    <row r="180" spans="1:9">
      <c r="A180" s="662" t="s">
        <v>282</v>
      </c>
      <c r="B180" s="662"/>
      <c r="C180" s="662"/>
      <c r="D180" s="662"/>
      <c r="E180" s="662"/>
      <c r="F180" s="252">
        <f>F179*F139</f>
        <v>561.26588133333325</v>
      </c>
      <c r="G180" s="70"/>
      <c r="H180" s="21"/>
      <c r="I180" s="21"/>
    </row>
    <row r="181" spans="1:9">
      <c r="A181" s="21"/>
      <c r="B181" s="21"/>
      <c r="C181" s="21"/>
      <c r="D181" s="21"/>
      <c r="E181" s="21"/>
      <c r="F181" s="21"/>
      <c r="G181" s="21"/>
      <c r="H181" s="21"/>
      <c r="I181" s="21"/>
    </row>
    <row r="182" spans="1:9">
      <c r="A182" s="1" t="s">
        <v>577</v>
      </c>
      <c r="B182" s="1"/>
      <c r="C182" s="21"/>
      <c r="D182" s="21"/>
      <c r="E182" s="21"/>
      <c r="F182" s="738">
        <f>F190+F200+F209+F216</f>
        <v>361.25190647235547</v>
      </c>
      <c r="G182" s="738"/>
      <c r="H182" s="21"/>
      <c r="I182" s="21"/>
    </row>
    <row r="183" spans="1:9">
      <c r="A183" s="21"/>
      <c r="B183" s="21"/>
      <c r="C183" s="21"/>
      <c r="D183" s="21"/>
      <c r="E183" s="21"/>
      <c r="F183" s="21"/>
      <c r="G183" s="21"/>
      <c r="H183" s="277"/>
      <c r="I183" s="21"/>
    </row>
    <row r="184" spans="1:9">
      <c r="A184" s="1" t="s">
        <v>295</v>
      </c>
      <c r="B184" s="1"/>
      <c r="C184" s="21"/>
      <c r="D184" s="21"/>
      <c r="E184" s="21"/>
      <c r="F184" s="192"/>
      <c r="G184" s="21"/>
      <c r="H184" s="277"/>
      <c r="I184" s="21"/>
    </row>
    <row r="185" spans="1:9">
      <c r="A185" s="739" t="s">
        <v>296</v>
      </c>
      <c r="B185" s="739"/>
      <c r="C185" s="739"/>
      <c r="D185" s="739"/>
      <c r="E185" s="739"/>
      <c r="F185" s="53">
        <v>13</v>
      </c>
      <c r="G185" s="21"/>
      <c r="H185" s="21"/>
      <c r="I185" s="21"/>
    </row>
    <row r="186" spans="1:9">
      <c r="A186" s="739" t="s">
        <v>297</v>
      </c>
      <c r="B186" s="739"/>
      <c r="C186" s="739"/>
      <c r="D186" s="739"/>
      <c r="E186" s="739"/>
      <c r="F186" s="245">
        <f>(232+244.9+235.9+250+257.9+254.99)/6/20</f>
        <v>12.297416666666665</v>
      </c>
      <c r="G186" s="21" t="s">
        <v>298</v>
      </c>
      <c r="H186" s="282"/>
      <c r="I186" s="21"/>
    </row>
    <row r="187" spans="1:9">
      <c r="A187" s="739" t="s">
        <v>299</v>
      </c>
      <c r="B187" s="739"/>
      <c r="C187" s="739"/>
      <c r="D187" s="739"/>
      <c r="E187" s="739"/>
      <c r="F187" s="283">
        <v>10000</v>
      </c>
      <c r="G187" s="21"/>
      <c r="H187" s="21"/>
      <c r="I187" s="21"/>
    </row>
    <row r="188" spans="1:9">
      <c r="A188" s="739" t="s">
        <v>300</v>
      </c>
      <c r="B188" s="739"/>
      <c r="C188" s="739"/>
      <c r="D188" s="739"/>
      <c r="E188" s="739"/>
      <c r="F188" s="284">
        <f>F185*F186/F187</f>
        <v>1.5986641666666666E-2</v>
      </c>
      <c r="G188" s="21"/>
      <c r="H188" s="21"/>
      <c r="I188" s="21"/>
    </row>
    <row r="189" spans="1:9">
      <c r="A189" s="662" t="s">
        <v>301</v>
      </c>
      <c r="B189" s="662"/>
      <c r="C189" s="662"/>
      <c r="D189" s="662"/>
      <c r="E189" s="662"/>
      <c r="F189" s="245">
        <f>F188*E81</f>
        <v>41.19092513206666</v>
      </c>
      <c r="G189" s="21"/>
      <c r="H189" s="21"/>
      <c r="I189" s="21"/>
    </row>
    <row r="190" spans="1:9">
      <c r="A190" s="662" t="s">
        <v>302</v>
      </c>
      <c r="B190" s="662"/>
      <c r="C190" s="662"/>
      <c r="D190" s="662"/>
      <c r="E190" s="662"/>
      <c r="F190" s="286">
        <f>F189*F139</f>
        <v>82.38185026413332</v>
      </c>
      <c r="G190" s="21"/>
      <c r="H190" s="21"/>
      <c r="I190" s="21"/>
    </row>
    <row r="191" spans="1:9">
      <c r="A191" s="21"/>
      <c r="B191" s="21"/>
      <c r="C191" s="21"/>
      <c r="D191" s="21"/>
      <c r="E191" s="21"/>
      <c r="F191" s="287"/>
      <c r="G191" s="21"/>
      <c r="H191" s="21"/>
      <c r="I191" s="21"/>
    </row>
    <row r="192" spans="1:9">
      <c r="A192" s="1" t="s">
        <v>303</v>
      </c>
      <c r="B192" s="1"/>
      <c r="C192" s="21"/>
      <c r="D192" s="21"/>
      <c r="E192" s="21"/>
      <c r="F192" s="21"/>
      <c r="G192" s="21"/>
      <c r="H192" s="21"/>
      <c r="I192" s="21"/>
    </row>
    <row r="193" spans="1:9">
      <c r="A193" s="725" t="s">
        <v>304</v>
      </c>
      <c r="B193" s="725"/>
      <c r="C193" s="725"/>
      <c r="D193" s="725"/>
      <c r="E193" s="725"/>
      <c r="F193" s="53">
        <v>10</v>
      </c>
      <c r="G193" s="21"/>
      <c r="H193" s="21"/>
      <c r="I193" s="21"/>
    </row>
    <row r="194" spans="1:9">
      <c r="A194" s="725" t="s">
        <v>305</v>
      </c>
      <c r="B194" s="725"/>
      <c r="C194" s="725"/>
      <c r="D194" s="725"/>
      <c r="E194" s="725"/>
      <c r="F194" s="53">
        <v>20</v>
      </c>
      <c r="G194" s="21"/>
      <c r="H194" s="21"/>
      <c r="I194" s="21"/>
    </row>
    <row r="195" spans="1:9">
      <c r="A195" s="725" t="s">
        <v>306</v>
      </c>
      <c r="B195" s="725"/>
      <c r="C195" s="725"/>
      <c r="D195" s="725"/>
      <c r="E195" s="725"/>
      <c r="F195" s="245">
        <f>F186</f>
        <v>12.297416666666665</v>
      </c>
      <c r="G195" s="21" t="s">
        <v>298</v>
      </c>
      <c r="H195" s="21"/>
      <c r="I195" s="21"/>
    </row>
    <row r="196" spans="1:9">
      <c r="A196" s="725" t="s">
        <v>307</v>
      </c>
      <c r="B196" s="725"/>
      <c r="C196" s="725"/>
      <c r="D196" s="725"/>
      <c r="E196" s="725"/>
      <c r="F196" s="245">
        <f>(34+230/20)/2</f>
        <v>22.75</v>
      </c>
      <c r="G196" s="21" t="s">
        <v>308</v>
      </c>
      <c r="H196" s="21"/>
      <c r="I196" s="21"/>
    </row>
    <row r="197" spans="1:9">
      <c r="A197" s="725" t="s">
        <v>578</v>
      </c>
      <c r="B197" s="725"/>
      <c r="C197" s="725"/>
      <c r="D197" s="725"/>
      <c r="E197" s="725"/>
      <c r="F197" s="61">
        <v>60000</v>
      </c>
      <c r="H197" s="21"/>
      <c r="I197" s="21"/>
    </row>
    <row r="198" spans="1:9">
      <c r="A198" s="725" t="s">
        <v>300</v>
      </c>
      <c r="B198" s="725"/>
      <c r="C198" s="725"/>
      <c r="D198" s="725"/>
      <c r="E198" s="725"/>
      <c r="F198" s="288">
        <f>(F193*F195+F194*F196)/F197</f>
        <v>9.6329027777777767E-3</v>
      </c>
      <c r="G198" s="21"/>
      <c r="H198" s="21"/>
      <c r="I198" s="21"/>
    </row>
    <row r="199" spans="1:9">
      <c r="A199" s="662" t="s">
        <v>301</v>
      </c>
      <c r="B199" s="662"/>
      <c r="C199" s="662"/>
      <c r="D199" s="662"/>
      <c r="E199" s="662"/>
      <c r="F199" s="245">
        <f>F198*E81</f>
        <v>24.819983170777775</v>
      </c>
      <c r="G199" s="21"/>
      <c r="H199" s="21"/>
      <c r="I199" s="21"/>
    </row>
    <row r="200" spans="1:9">
      <c r="A200" s="662" t="s">
        <v>302</v>
      </c>
      <c r="B200" s="662"/>
      <c r="C200" s="662"/>
      <c r="D200" s="662"/>
      <c r="E200" s="662"/>
      <c r="F200" s="286">
        <f>F199*F139</f>
        <v>49.639966341555549</v>
      </c>
      <c r="G200" s="21"/>
      <c r="H200" s="21"/>
      <c r="I200" s="21"/>
    </row>
    <row r="201" spans="1:9">
      <c r="A201" s="21" t="s">
        <v>579</v>
      </c>
      <c r="B201" s="21"/>
      <c r="C201" s="21"/>
      <c r="D201" s="21"/>
      <c r="E201" s="21"/>
      <c r="F201" s="21"/>
      <c r="G201" s="21"/>
      <c r="H201" s="21"/>
      <c r="I201" s="21"/>
    </row>
    <row r="202" spans="1:9">
      <c r="A202" s="1" t="s">
        <v>316</v>
      </c>
      <c r="B202" s="1"/>
      <c r="C202" s="21"/>
      <c r="D202" s="21"/>
      <c r="E202" s="21"/>
      <c r="F202" s="21"/>
      <c r="G202" s="21"/>
      <c r="H202" s="21"/>
      <c r="I202" s="21"/>
    </row>
    <row r="203" spans="1:9">
      <c r="A203" s="739" t="s">
        <v>317</v>
      </c>
      <c r="B203" s="739"/>
      <c r="C203" s="739"/>
      <c r="D203" s="739"/>
      <c r="E203" s="739"/>
      <c r="F203" s="245">
        <f>(75+95)/2+(69+115)/2+(95+185)/2</f>
        <v>317</v>
      </c>
      <c r="G203" s="21"/>
      <c r="H203" s="21"/>
      <c r="I203" s="21"/>
    </row>
    <row r="204" spans="1:9">
      <c r="A204" s="739" t="s">
        <v>318</v>
      </c>
      <c r="B204" s="739"/>
      <c r="C204" s="739"/>
      <c r="D204" s="739"/>
      <c r="E204" s="739"/>
      <c r="F204" s="283">
        <v>10000</v>
      </c>
      <c r="G204" s="21"/>
      <c r="H204" s="21"/>
      <c r="I204" s="21"/>
    </row>
    <row r="205" spans="1:9">
      <c r="A205" s="739" t="s">
        <v>319</v>
      </c>
      <c r="B205" s="739"/>
      <c r="C205" s="739"/>
      <c r="D205" s="739"/>
      <c r="E205" s="739"/>
      <c r="F205" s="304">
        <f>(115+99)/2</f>
        <v>107</v>
      </c>
      <c r="G205" s="21"/>
      <c r="H205" s="21"/>
      <c r="I205" s="21"/>
    </row>
    <row r="206" spans="1:9">
      <c r="A206" s="739" t="s">
        <v>320</v>
      </c>
      <c r="B206" s="739"/>
      <c r="C206" s="739"/>
      <c r="D206" s="739"/>
      <c r="E206" s="739"/>
      <c r="F206" s="283">
        <v>60000</v>
      </c>
      <c r="G206" s="21"/>
      <c r="H206" s="21"/>
      <c r="I206" s="21"/>
    </row>
    <row r="207" spans="1:9">
      <c r="A207" s="725" t="s">
        <v>300</v>
      </c>
      <c r="B207" s="725"/>
      <c r="C207" s="725"/>
      <c r="D207" s="725"/>
      <c r="E207" s="725"/>
      <c r="F207" s="305">
        <f>F203/F204+F205/F206</f>
        <v>3.348333333333333E-2</v>
      </c>
      <c r="G207" s="21"/>
      <c r="H207" s="21"/>
      <c r="I207" s="21"/>
    </row>
    <row r="208" spans="1:9">
      <c r="A208" s="662" t="s">
        <v>301</v>
      </c>
      <c r="B208" s="662"/>
      <c r="C208" s="662"/>
      <c r="D208" s="662"/>
      <c r="E208" s="662"/>
      <c r="F208" s="306">
        <f>F207*E81</f>
        <v>86.272620933333314</v>
      </c>
      <c r="G208" s="21"/>
      <c r="H208" s="21"/>
      <c r="I208" s="21"/>
    </row>
    <row r="209" spans="1:9">
      <c r="A209" s="662" t="s">
        <v>302</v>
      </c>
      <c r="B209" s="662"/>
      <c r="C209" s="662"/>
      <c r="D209" s="662"/>
      <c r="E209" s="662"/>
      <c r="F209" s="307">
        <f>F208*F139</f>
        <v>172.54524186666663</v>
      </c>
      <c r="G209" s="21"/>
      <c r="H209" s="21"/>
      <c r="I209" s="21"/>
    </row>
    <row r="210" spans="1:9">
      <c r="A210" s="21"/>
      <c r="B210" s="21"/>
      <c r="C210" s="21"/>
      <c r="D210" s="21"/>
      <c r="E210" s="21"/>
      <c r="F210" s="21"/>
      <c r="G210" s="21"/>
      <c r="H210" s="21"/>
      <c r="I210" s="21"/>
    </row>
    <row r="211" spans="1:9">
      <c r="A211" s="1" t="s">
        <v>321</v>
      </c>
      <c r="B211" s="1"/>
      <c r="C211" s="21"/>
      <c r="D211" s="21"/>
      <c r="E211" s="21"/>
      <c r="F211" s="21"/>
      <c r="G211" s="21"/>
      <c r="H211" s="21"/>
      <c r="I211" s="21"/>
    </row>
    <row r="212" spans="1:9">
      <c r="A212" s="725" t="s">
        <v>322</v>
      </c>
      <c r="B212" s="725"/>
      <c r="C212" s="725"/>
      <c r="D212" s="725"/>
      <c r="E212" s="725"/>
      <c r="F212" s="308">
        <v>11</v>
      </c>
      <c r="G212" s="21"/>
      <c r="H212" s="21"/>
      <c r="I212" s="21"/>
    </row>
    <row r="213" spans="1:9">
      <c r="A213" s="725" t="s">
        <v>323</v>
      </c>
      <c r="B213" s="725"/>
      <c r="C213" s="725"/>
      <c r="D213" s="725"/>
      <c r="E213" s="725"/>
      <c r="F213" s="309">
        <f>1/1000</f>
        <v>1E-3</v>
      </c>
      <c r="G213" s="21"/>
      <c r="H213" s="21"/>
      <c r="I213" s="21"/>
    </row>
    <row r="214" spans="1:9">
      <c r="A214" s="725" t="s">
        <v>324</v>
      </c>
      <c r="B214" s="725"/>
      <c r="C214" s="725"/>
      <c r="D214" s="725"/>
      <c r="E214" s="725"/>
      <c r="F214" s="310">
        <f>F213*E81</f>
        <v>2.576584</v>
      </c>
      <c r="G214" s="21"/>
      <c r="H214" s="21"/>
      <c r="I214" s="21"/>
    </row>
    <row r="215" spans="1:9">
      <c r="A215" s="662" t="s">
        <v>301</v>
      </c>
      <c r="B215" s="662"/>
      <c r="C215" s="662"/>
      <c r="D215" s="662"/>
      <c r="E215" s="662"/>
      <c r="F215" s="311">
        <f>F214*F212</f>
        <v>28.342424000000001</v>
      </c>
      <c r="G215" s="21"/>
      <c r="H215" s="21"/>
      <c r="I215" s="21"/>
    </row>
    <row r="216" spans="1:9">
      <c r="A216" s="662" t="s">
        <v>302</v>
      </c>
      <c r="B216" s="662"/>
      <c r="C216" s="662"/>
      <c r="D216" s="662"/>
      <c r="E216" s="662"/>
      <c r="F216" s="264">
        <f>F215*F139</f>
        <v>56.684848000000002</v>
      </c>
      <c r="G216" s="21"/>
      <c r="H216" s="21"/>
      <c r="I216" s="21"/>
    </row>
    <row r="217" spans="1:9">
      <c r="A217" s="21"/>
      <c r="B217" s="21"/>
      <c r="C217" s="21"/>
      <c r="D217" s="21"/>
      <c r="E217" s="21"/>
      <c r="F217" s="21"/>
      <c r="G217" s="21"/>
      <c r="H217" s="21"/>
      <c r="I217" s="21"/>
    </row>
    <row r="218" spans="1:9">
      <c r="A218" s="1" t="s">
        <v>580</v>
      </c>
      <c r="B218" s="1"/>
      <c r="C218" s="21"/>
      <c r="D218" s="21"/>
      <c r="E218" s="21"/>
      <c r="F218" s="741">
        <f>F222</f>
        <v>1302</v>
      </c>
      <c r="G218" s="741"/>
      <c r="H218" s="21"/>
      <c r="I218" s="21"/>
    </row>
    <row r="219" spans="1:9">
      <c r="A219" s="1"/>
      <c r="B219" s="1"/>
      <c r="C219" s="21"/>
      <c r="D219" s="21"/>
      <c r="E219" s="21"/>
      <c r="F219" s="312"/>
      <c r="G219" s="312"/>
      <c r="H219" s="21"/>
      <c r="I219" s="21"/>
    </row>
    <row r="220" spans="1:9" ht="15" customHeight="1">
      <c r="A220" s="681" t="s">
        <v>581</v>
      </c>
      <c r="B220" s="681"/>
      <c r="C220" s="681"/>
      <c r="D220" s="681"/>
      <c r="E220" s="681"/>
      <c r="F220" s="265">
        <f>150*4.34</f>
        <v>651</v>
      </c>
      <c r="G220" s="21"/>
      <c r="H220" s="21"/>
      <c r="I220" s="21"/>
    </row>
    <row r="221" spans="1:9">
      <c r="A221" s="725" t="s">
        <v>327</v>
      </c>
      <c r="B221" s="725"/>
      <c r="C221" s="725"/>
      <c r="D221" s="725"/>
      <c r="E221" s="725"/>
      <c r="F221" s="315">
        <f>F139</f>
        <v>2</v>
      </c>
      <c r="G221" s="21"/>
      <c r="H221" s="21"/>
      <c r="I221" s="21"/>
    </row>
    <row r="222" spans="1:9">
      <c r="A222" s="662" t="s">
        <v>328</v>
      </c>
      <c r="B222" s="662"/>
      <c r="C222" s="662"/>
      <c r="D222" s="662"/>
      <c r="E222" s="662"/>
      <c r="F222" s="264">
        <f>F220*F221</f>
        <v>1302</v>
      </c>
      <c r="G222" s="21"/>
      <c r="H222" s="21"/>
      <c r="I222" s="21"/>
    </row>
    <row r="223" spans="1:9">
      <c r="A223" s="259"/>
      <c r="B223" s="259"/>
      <c r="C223" s="259"/>
      <c r="D223" s="259"/>
      <c r="E223" s="259"/>
      <c r="F223" s="316"/>
      <c r="G223" s="21"/>
      <c r="H223" s="21"/>
      <c r="I223" s="21"/>
    </row>
    <row r="224" spans="1:9">
      <c r="A224" s="1" t="s">
        <v>582</v>
      </c>
      <c r="B224" s="1"/>
      <c r="C224" s="21"/>
      <c r="D224" s="21"/>
      <c r="E224" s="21"/>
      <c r="F224" s="742">
        <f>F233+G233</f>
        <v>1954.8962500000002</v>
      </c>
      <c r="G224" s="742"/>
      <c r="H224" s="21"/>
      <c r="I224" s="21"/>
    </row>
    <row r="225" spans="1:9">
      <c r="A225" s="1"/>
      <c r="B225" s="1"/>
      <c r="C225" s="21"/>
      <c r="D225" s="21"/>
      <c r="E225" s="21"/>
      <c r="F225" s="317"/>
      <c r="G225" s="113"/>
      <c r="H225" s="21"/>
      <c r="I225" s="21"/>
    </row>
    <row r="226" spans="1:9">
      <c r="A226" s="21"/>
      <c r="B226" s="21"/>
      <c r="C226" s="21"/>
      <c r="D226" s="21"/>
      <c r="E226" s="21"/>
      <c r="F226" s="30" t="s">
        <v>250</v>
      </c>
      <c r="G226" s="30" t="s">
        <v>251</v>
      </c>
      <c r="H226" s="21"/>
      <c r="I226" s="21"/>
    </row>
    <row r="227" spans="1:9">
      <c r="A227" s="743" t="s">
        <v>330</v>
      </c>
      <c r="B227" s="743"/>
      <c r="C227" s="743"/>
      <c r="D227" s="743"/>
      <c r="E227" s="743"/>
      <c r="F227" s="245">
        <v>5.78</v>
      </c>
      <c r="G227" s="311">
        <f>F227</f>
        <v>5.78</v>
      </c>
      <c r="H227" s="21"/>
      <c r="I227" s="21"/>
    </row>
    <row r="228" spans="1:9">
      <c r="A228" s="743" t="s">
        <v>331</v>
      </c>
      <c r="B228" s="743"/>
      <c r="C228" s="743"/>
      <c r="D228" s="743"/>
      <c r="E228" s="743"/>
      <c r="F228" s="245">
        <f>1.5/100*F138</f>
        <v>2066.8049999999998</v>
      </c>
      <c r="G228" s="311">
        <f>1.5/100*F147</f>
        <v>1707.885</v>
      </c>
      <c r="H228" s="21"/>
      <c r="I228" s="21"/>
    </row>
    <row r="229" spans="1:9">
      <c r="A229" s="743" t="s">
        <v>332</v>
      </c>
      <c r="B229" s="743"/>
      <c r="C229" s="743"/>
      <c r="D229" s="743"/>
      <c r="E229" s="743"/>
      <c r="F229" s="245">
        <f>(0.04*F136)</f>
        <v>6111.4800000000005</v>
      </c>
      <c r="G229" s="311">
        <f>0.04*F145</f>
        <v>5154.3599999999997</v>
      </c>
      <c r="H229" s="21"/>
      <c r="I229" s="21"/>
    </row>
    <row r="230" spans="1:9">
      <c r="A230" s="743" t="s">
        <v>333</v>
      </c>
      <c r="B230" s="743"/>
      <c r="C230" s="743"/>
      <c r="D230" s="743"/>
      <c r="E230" s="743"/>
      <c r="F230" s="245">
        <v>74.2</v>
      </c>
      <c r="G230" s="311">
        <f>F230</f>
        <v>74.2</v>
      </c>
      <c r="H230" s="21"/>
      <c r="I230" s="21"/>
    </row>
    <row r="231" spans="1:9">
      <c r="A231" s="743" t="s">
        <v>334</v>
      </c>
      <c r="B231" s="743"/>
      <c r="C231" s="743"/>
      <c r="D231" s="743"/>
      <c r="E231" s="743"/>
      <c r="F231" s="245">
        <f>F227+F228+F229+F230</f>
        <v>8258.2650000000012</v>
      </c>
      <c r="G231" s="311">
        <f>G227+G228+G229+G230</f>
        <v>6942.2249999999995</v>
      </c>
      <c r="H231" s="21"/>
      <c r="I231" s="21"/>
    </row>
    <row r="232" spans="1:9">
      <c r="A232" s="744" t="s">
        <v>335</v>
      </c>
      <c r="B232" s="744"/>
      <c r="C232" s="744"/>
      <c r="D232" s="744"/>
      <c r="E232" s="744"/>
      <c r="F232" s="306">
        <f>F231/12</f>
        <v>688.18875000000014</v>
      </c>
      <c r="G232" s="311">
        <f>G231/12</f>
        <v>578.51874999999995</v>
      </c>
      <c r="H232" s="270"/>
      <c r="I232" s="21"/>
    </row>
    <row r="233" spans="1:9">
      <c r="A233" s="744" t="s">
        <v>336</v>
      </c>
      <c r="B233" s="744"/>
      <c r="C233" s="744"/>
      <c r="D233" s="744"/>
      <c r="E233" s="744"/>
      <c r="F233" s="321">
        <f>F232*F139</f>
        <v>1376.3775000000003</v>
      </c>
      <c r="G233" s="136">
        <f>G232</f>
        <v>578.51874999999995</v>
      </c>
      <c r="H233" s="264">
        <f>F233+G233</f>
        <v>1954.8962500000002</v>
      </c>
      <c r="I233" s="21"/>
    </row>
    <row r="234" spans="1:9">
      <c r="A234" s="322"/>
      <c r="B234" s="322"/>
      <c r="C234" s="322"/>
      <c r="D234" s="322"/>
      <c r="E234" s="322"/>
      <c r="F234" s="323"/>
      <c r="G234" s="70"/>
      <c r="H234" s="21"/>
      <c r="I234" s="21"/>
    </row>
    <row r="235" spans="1:9">
      <c r="A235" s="1" t="s">
        <v>583</v>
      </c>
      <c r="B235" s="1"/>
      <c r="C235" s="21"/>
      <c r="D235" s="21"/>
      <c r="E235" s="21"/>
      <c r="F235" s="734">
        <f>G244+G250</f>
        <v>10435.800000000001</v>
      </c>
      <c r="G235" s="734"/>
      <c r="H235" s="21"/>
      <c r="I235" s="21"/>
    </row>
    <row r="236" spans="1:9" ht="24" customHeight="1">
      <c r="A236" s="745" t="s">
        <v>584</v>
      </c>
      <c r="B236" s="745"/>
      <c r="C236" s="745"/>
      <c r="D236" s="745"/>
      <c r="E236" s="745"/>
      <c r="F236" s="745"/>
      <c r="G236" s="745"/>
      <c r="H236" s="745"/>
      <c r="I236" s="21"/>
    </row>
    <row r="237" spans="1:9">
      <c r="A237" s="21" t="s">
        <v>339</v>
      </c>
      <c r="B237" s="21"/>
      <c r="C237" s="21"/>
      <c r="D237" s="21"/>
      <c r="E237" s="21"/>
      <c r="F237" s="249"/>
      <c r="G237" s="249"/>
      <c r="H237" s="21"/>
      <c r="I237" s="21"/>
    </row>
    <row r="238" spans="1:9">
      <c r="A238" s="324" t="s">
        <v>340</v>
      </c>
      <c r="B238" s="324"/>
      <c r="C238" s="21"/>
      <c r="D238" s="21"/>
      <c r="E238" s="21"/>
      <c r="F238" s="21"/>
      <c r="G238" s="21"/>
      <c r="H238" s="21"/>
      <c r="I238" s="21"/>
    </row>
    <row r="239" spans="1:9">
      <c r="A239" s="679" t="s">
        <v>341</v>
      </c>
      <c r="B239" s="679"/>
      <c r="C239" s="679"/>
      <c r="D239" s="679"/>
      <c r="E239" s="679"/>
      <c r="F239" s="679"/>
      <c r="G239" s="325">
        <f>F138</f>
        <v>137787</v>
      </c>
      <c r="H239" s="21"/>
      <c r="I239" s="21"/>
    </row>
    <row r="240" spans="1:9" ht="15" customHeight="1">
      <c r="A240" s="659" t="s">
        <v>342</v>
      </c>
      <c r="B240" s="659"/>
      <c r="C240" s="659"/>
      <c r="D240" s="659"/>
      <c r="E240" s="659"/>
      <c r="F240" s="659"/>
      <c r="G240" s="326">
        <f>G239*0.2</f>
        <v>27557.4</v>
      </c>
      <c r="H240" s="156"/>
      <c r="I240" s="327"/>
    </row>
    <row r="241" spans="1:9">
      <c r="A241" s="679" t="s">
        <v>343</v>
      </c>
      <c r="B241" s="679"/>
      <c r="C241" s="679"/>
      <c r="D241" s="679"/>
      <c r="E241" s="679"/>
      <c r="F241" s="679"/>
      <c r="G241" s="88">
        <v>24</v>
      </c>
      <c r="H241" s="21"/>
      <c r="I241" s="21"/>
    </row>
    <row r="242" spans="1:9">
      <c r="A242" s="679" t="s">
        <v>344</v>
      </c>
      <c r="B242" s="679"/>
      <c r="C242" s="679"/>
      <c r="D242" s="679"/>
      <c r="E242" s="679"/>
      <c r="F242" s="679"/>
      <c r="G242" s="541">
        <v>0.5</v>
      </c>
      <c r="H242" s="294"/>
      <c r="I242" s="21"/>
    </row>
    <row r="243" spans="1:9">
      <c r="A243" s="662" t="s">
        <v>346</v>
      </c>
      <c r="B243" s="662"/>
      <c r="C243" s="662"/>
      <c r="D243" s="662"/>
      <c r="E243" s="662"/>
      <c r="F243" s="662"/>
      <c r="G243" s="328">
        <f>(G239*0.8)/24</f>
        <v>4592.9000000000005</v>
      </c>
      <c r="H243" s="21"/>
      <c r="I243" s="21"/>
    </row>
    <row r="244" spans="1:9">
      <c r="A244" s="662" t="s">
        <v>347</v>
      </c>
      <c r="B244" s="662"/>
      <c r="C244" s="662"/>
      <c r="D244" s="662"/>
      <c r="E244" s="662"/>
      <c r="F244" s="662"/>
      <c r="G244" s="328">
        <f>G243*F139</f>
        <v>9185.8000000000011</v>
      </c>
      <c r="H244" s="21"/>
      <c r="I244" s="277"/>
    </row>
    <row r="245" spans="1:9">
      <c r="A245" s="259"/>
      <c r="B245" s="259"/>
      <c r="C245" s="259"/>
      <c r="D245" s="259"/>
      <c r="E245" s="259"/>
      <c r="F245" s="259"/>
      <c r="G245" s="329"/>
      <c r="H245" s="277"/>
      <c r="I245" s="21"/>
    </row>
    <row r="246" spans="1:9">
      <c r="A246" s="679" t="s">
        <v>348</v>
      </c>
      <c r="B246" s="679"/>
      <c r="C246" s="679"/>
      <c r="D246" s="679"/>
      <c r="E246" s="679"/>
      <c r="F246" s="679"/>
      <c r="G246" s="241">
        <f>F137</f>
        <v>15000</v>
      </c>
      <c r="H246" s="21"/>
      <c r="I246" s="21"/>
    </row>
    <row r="247" spans="1:9" ht="15" customHeight="1">
      <c r="A247" s="659" t="s">
        <v>349</v>
      </c>
      <c r="B247" s="659"/>
      <c r="C247" s="659"/>
      <c r="D247" s="659"/>
      <c r="E247" s="659"/>
      <c r="F247" s="659"/>
      <c r="G247" s="241">
        <f>0</f>
        <v>0</v>
      </c>
      <c r="H247" s="270"/>
      <c r="I247" s="21"/>
    </row>
    <row r="248" spans="1:9">
      <c r="A248" s="679" t="s">
        <v>350</v>
      </c>
      <c r="B248" s="679"/>
      <c r="C248" s="679"/>
      <c r="D248" s="679"/>
      <c r="E248" s="679"/>
      <c r="F248" s="679"/>
      <c r="G248" s="330">
        <v>24</v>
      </c>
      <c r="H248" s="21"/>
      <c r="I248" s="21"/>
    </row>
    <row r="249" spans="1:9">
      <c r="A249" s="662" t="s">
        <v>351</v>
      </c>
      <c r="B249" s="662"/>
      <c r="C249" s="662"/>
      <c r="D249" s="662"/>
      <c r="E249" s="662"/>
      <c r="F249" s="662"/>
      <c r="G249" s="264">
        <f>G246/G248</f>
        <v>625</v>
      </c>
      <c r="H249" s="21"/>
      <c r="I249" s="21"/>
    </row>
    <row r="250" spans="1:9">
      <c r="A250" s="662" t="s">
        <v>352</v>
      </c>
      <c r="B250" s="662"/>
      <c r="C250" s="662"/>
      <c r="D250" s="662"/>
      <c r="E250" s="662"/>
      <c r="F250" s="662"/>
      <c r="G250" s="264">
        <f>G249*F139</f>
        <v>1250</v>
      </c>
      <c r="H250" s="21"/>
      <c r="I250" s="21"/>
    </row>
    <row r="251" spans="1:9">
      <c r="A251" s="259"/>
      <c r="B251" s="259"/>
      <c r="C251" s="259"/>
      <c r="D251" s="259"/>
      <c r="E251" s="259"/>
      <c r="F251" s="259"/>
      <c r="G251" s="331"/>
      <c r="H251" s="21"/>
      <c r="I251" s="21"/>
    </row>
    <row r="252" spans="1:9" ht="15" customHeight="1">
      <c r="A252" s="780" t="s">
        <v>353</v>
      </c>
      <c r="B252" s="780"/>
      <c r="C252" s="780"/>
      <c r="D252" s="780"/>
      <c r="E252" s="780"/>
      <c r="F252" s="780"/>
      <c r="G252" s="780"/>
      <c r="H252" s="780"/>
      <c r="I252" s="21"/>
    </row>
    <row r="253" spans="1:9">
      <c r="A253" s="332"/>
      <c r="B253" s="332"/>
      <c r="C253" s="332"/>
      <c r="D253" s="332"/>
      <c r="E253" s="332"/>
      <c r="F253" s="332"/>
      <c r="G253" s="332"/>
      <c r="H253" s="332"/>
      <c r="I253" s="21"/>
    </row>
    <row r="254" spans="1:9">
      <c r="A254" s="1" t="s">
        <v>585</v>
      </c>
      <c r="B254" s="1"/>
      <c r="C254" s="21"/>
      <c r="D254" s="21"/>
      <c r="E254" s="21"/>
      <c r="F254" s="781">
        <f>F273</f>
        <v>407.43199999999996</v>
      </c>
      <c r="G254" s="781"/>
      <c r="H254" s="21"/>
      <c r="I254" s="21"/>
    </row>
    <row r="255" spans="1:9">
      <c r="A255" s="1"/>
      <c r="B255" s="1"/>
      <c r="C255" s="21"/>
      <c r="D255" s="21"/>
      <c r="E255" s="21"/>
      <c r="F255" s="317"/>
      <c r="G255" s="113"/>
      <c r="H255" s="21"/>
      <c r="I255" s="21"/>
    </row>
    <row r="256" spans="1:9">
      <c r="A256" s="324" t="s">
        <v>355</v>
      </c>
      <c r="B256" s="324"/>
      <c r="C256" s="21"/>
      <c r="D256" s="21"/>
      <c r="E256" s="21"/>
      <c r="F256" s="21"/>
      <c r="G256" s="21"/>
      <c r="H256" s="21"/>
      <c r="I256" s="21"/>
    </row>
    <row r="257" spans="1:9">
      <c r="A257" s="21" t="s">
        <v>356</v>
      </c>
      <c r="B257" s="21"/>
      <c r="C257" s="21"/>
      <c r="D257" s="21"/>
      <c r="E257" s="21"/>
      <c r="F257" s="21"/>
      <c r="G257" s="21"/>
      <c r="H257" s="21"/>
      <c r="I257" s="21"/>
    </row>
    <row r="258" spans="1:9" ht="24" customHeight="1">
      <c r="A258" s="745" t="s">
        <v>415</v>
      </c>
      <c r="B258" s="745"/>
      <c r="C258" s="745"/>
      <c r="D258" s="745"/>
      <c r="E258" s="745"/>
      <c r="F258" s="745"/>
      <c r="G258" s="745"/>
      <c r="H258" s="745"/>
      <c r="I258" s="21"/>
    </row>
    <row r="259" spans="1:9">
      <c r="A259" s="333" t="s">
        <v>358</v>
      </c>
      <c r="B259" s="333"/>
      <c r="C259" s="21"/>
      <c r="D259" s="21"/>
      <c r="E259" s="21"/>
      <c r="F259" s="21"/>
      <c r="G259" s="21"/>
      <c r="H259" s="21"/>
      <c r="I259" s="21"/>
    </row>
    <row r="260" spans="1:9">
      <c r="A260" s="333" t="s">
        <v>359</v>
      </c>
      <c r="B260" s="333"/>
      <c r="C260" s="21"/>
      <c r="D260" s="21"/>
      <c r="E260" s="21"/>
      <c r="F260" s="21"/>
      <c r="G260" s="21"/>
      <c r="H260" s="21"/>
      <c r="I260" s="21"/>
    </row>
    <row r="261" spans="1:9">
      <c r="A261" s="333" t="s">
        <v>360</v>
      </c>
      <c r="B261" s="333"/>
      <c r="C261" s="21"/>
      <c r="D261" s="21"/>
      <c r="E261" s="21"/>
      <c r="F261" s="21"/>
      <c r="G261" s="21"/>
      <c r="H261" s="21"/>
      <c r="I261" s="21"/>
    </row>
    <row r="262" spans="1:9">
      <c r="A262" s="333" t="s">
        <v>416</v>
      </c>
      <c r="B262" s="333"/>
      <c r="C262" s="21"/>
      <c r="D262" s="21"/>
      <c r="E262" s="21"/>
      <c r="F262" s="21"/>
      <c r="G262" s="21"/>
      <c r="H262" s="21"/>
      <c r="I262" s="21"/>
    </row>
    <row r="263" spans="1:9">
      <c r="A263" s="333"/>
      <c r="B263" s="333"/>
      <c r="C263" s="21"/>
      <c r="D263" s="21"/>
      <c r="E263" s="21"/>
      <c r="F263" s="21"/>
      <c r="G263" s="21"/>
      <c r="H263" s="21"/>
      <c r="I263" s="21"/>
    </row>
    <row r="264" spans="1:9">
      <c r="A264" s="334" t="s">
        <v>362</v>
      </c>
      <c r="B264" s="335">
        <f>(2+(2-1)*(1+20/100))/(2*2)</f>
        <v>0.8</v>
      </c>
      <c r="D264" s="21"/>
      <c r="E264" s="21"/>
      <c r="F264" s="21"/>
      <c r="G264" s="21"/>
      <c r="H264" s="21"/>
      <c r="I264" s="21"/>
    </row>
    <row r="265" spans="1:9">
      <c r="A265" s="631" t="s">
        <v>745</v>
      </c>
      <c r="B265" s="21"/>
      <c r="C265" s="21"/>
      <c r="H265" s="21"/>
      <c r="I265" s="21"/>
    </row>
    <row r="266" spans="1:9">
      <c r="A266" s="337" t="s">
        <v>363</v>
      </c>
      <c r="B266" s="337"/>
      <c r="C266" s="21"/>
      <c r="D266" s="21"/>
      <c r="E266" s="21"/>
      <c r="F266" s="21"/>
      <c r="G266" s="21"/>
      <c r="H266" s="21"/>
      <c r="I266" s="21"/>
    </row>
    <row r="267" spans="1:9">
      <c r="A267" s="26" t="s">
        <v>364</v>
      </c>
      <c r="B267" s="268">
        <f>F136*B264*G267/100</f>
        <v>203.71599999999998</v>
      </c>
      <c r="D267" s="21"/>
      <c r="E267" s="21"/>
      <c r="F267" s="21"/>
      <c r="G267" s="173">
        <f>'Coleta convencional'!G311</f>
        <v>0.16666666666666666</v>
      </c>
      <c r="H267" s="21"/>
      <c r="I267" s="21"/>
    </row>
    <row r="268" spans="1:9">
      <c r="A268" s="338"/>
      <c r="B268" s="338"/>
      <c r="C268" s="22"/>
      <c r="D268" s="22"/>
      <c r="E268" s="22"/>
      <c r="F268" s="22"/>
      <c r="G268" s="22"/>
      <c r="H268" s="22"/>
      <c r="I268" s="21"/>
    </row>
    <row r="269" spans="1:9">
      <c r="A269" s="736" t="s">
        <v>586</v>
      </c>
      <c r="B269" s="736"/>
      <c r="C269" s="736"/>
      <c r="D269" s="736"/>
      <c r="E269" s="736"/>
      <c r="F269" s="736"/>
      <c r="G269" s="736"/>
      <c r="H269" s="736"/>
      <c r="I269" s="21"/>
    </row>
    <row r="270" spans="1:9">
      <c r="A270" s="339" t="s">
        <v>364</v>
      </c>
      <c r="B270" s="268">
        <f>B267*F139</f>
        <v>407.43199999999996</v>
      </c>
      <c r="D270" s="210"/>
      <c r="E270" s="22"/>
      <c r="F270" s="22"/>
      <c r="G270" s="22"/>
      <c r="H270" s="22"/>
      <c r="I270" s="21"/>
    </row>
    <row r="271" spans="1:9">
      <c r="A271" s="270"/>
      <c r="B271" s="270"/>
      <c r="C271" s="242"/>
      <c r="D271" s="242"/>
      <c r="E271" s="21"/>
      <c r="F271" s="21"/>
      <c r="G271" s="21"/>
      <c r="H271" s="21"/>
      <c r="I271" s="21"/>
    </row>
    <row r="272" spans="1:9">
      <c r="A272" s="662" t="s">
        <v>366</v>
      </c>
      <c r="B272" s="662"/>
      <c r="C272" s="662"/>
      <c r="D272" s="662"/>
      <c r="E272" s="662"/>
      <c r="F272" s="49">
        <f>B267</f>
        <v>203.71599999999998</v>
      </c>
      <c r="G272" s="21"/>
      <c r="H272" s="21"/>
      <c r="I272" s="21"/>
    </row>
    <row r="273" spans="1:9">
      <c r="A273" s="662" t="s">
        <v>367</v>
      </c>
      <c r="B273" s="662"/>
      <c r="C273" s="662"/>
      <c r="D273" s="662"/>
      <c r="E273" s="662"/>
      <c r="F273" s="49">
        <f>B270</f>
        <v>407.43199999999996</v>
      </c>
      <c r="G273" s="270"/>
      <c r="H273" s="21"/>
      <c r="I273" s="21"/>
    </row>
    <row r="274" spans="1:9">
      <c r="A274" s="343"/>
      <c r="B274" s="343"/>
      <c r="C274" s="343"/>
      <c r="D274" s="343"/>
      <c r="E274" s="343"/>
      <c r="F274" s="344"/>
      <c r="G274" s="345"/>
      <c r="H274" s="22"/>
      <c r="I274" s="21"/>
    </row>
    <row r="275" spans="1:9">
      <c r="A275" s="1" t="s">
        <v>587</v>
      </c>
      <c r="B275" s="1"/>
      <c r="C275" s="21"/>
      <c r="D275" s="21"/>
      <c r="E275" s="21"/>
      <c r="F275" s="21"/>
      <c r="G275" s="677">
        <f>G280</f>
        <v>225</v>
      </c>
      <c r="H275" s="677"/>
      <c r="I275" s="21"/>
    </row>
    <row r="276" spans="1:9">
      <c r="A276" s="1"/>
      <c r="B276" s="1"/>
      <c r="C276" s="21"/>
      <c r="D276" s="21"/>
      <c r="E276" s="21"/>
      <c r="F276" s="21"/>
      <c r="G276" s="21"/>
      <c r="H276" s="21"/>
      <c r="I276" s="21"/>
    </row>
    <row r="277" spans="1:9">
      <c r="A277" s="725" t="s">
        <v>369</v>
      </c>
      <c r="B277" s="725"/>
      <c r="C277" s="725"/>
      <c r="D277" s="725"/>
      <c r="E277" s="725"/>
      <c r="F277" s="725"/>
      <c r="G277" s="245">
        <v>180</v>
      </c>
      <c r="I277" s="21"/>
    </row>
    <row r="278" spans="1:9">
      <c r="A278" s="679" t="s">
        <v>371</v>
      </c>
      <c r="B278" s="679"/>
      <c r="C278" s="679"/>
      <c r="D278" s="679"/>
      <c r="E278" s="679"/>
      <c r="F278" s="679"/>
      <c r="G278" s="245">
        <v>60</v>
      </c>
      <c r="H278" s="21"/>
      <c r="I278" s="21"/>
    </row>
    <row r="279" spans="1:9">
      <c r="A279" s="725" t="s">
        <v>372</v>
      </c>
      <c r="B279" s="725"/>
      <c r="C279" s="725"/>
      <c r="D279" s="725"/>
      <c r="E279" s="725"/>
      <c r="F279" s="725"/>
      <c r="G279" s="306">
        <f>G278+G277/12</f>
        <v>75</v>
      </c>
      <c r="H279" s="21"/>
      <c r="I279" s="21"/>
    </row>
    <row r="280" spans="1:9">
      <c r="A280" s="662" t="s">
        <v>373</v>
      </c>
      <c r="B280" s="662"/>
      <c r="C280" s="662"/>
      <c r="D280" s="662"/>
      <c r="E280" s="662"/>
      <c r="F280" s="662"/>
      <c r="G280" s="307">
        <f>G279*E95</f>
        <v>225</v>
      </c>
      <c r="H280" s="270"/>
      <c r="I280" s="21"/>
    </row>
    <row r="281" spans="1:9">
      <c r="A281" s="21" t="s">
        <v>370</v>
      </c>
      <c r="B281" s="259"/>
      <c r="C281" s="259"/>
      <c r="D281" s="259"/>
      <c r="E281" s="259"/>
      <c r="F281" s="259"/>
      <c r="G281" s="260"/>
      <c r="H281" s="270"/>
      <c r="I281" s="21"/>
    </row>
    <row r="282" spans="1:9">
      <c r="A282" s="259"/>
      <c r="B282" s="259"/>
      <c r="C282" s="259"/>
      <c r="D282" s="259"/>
      <c r="E282" s="259"/>
      <c r="F282" s="259"/>
      <c r="G282" s="260"/>
      <c r="H282" s="21"/>
      <c r="I282" s="21"/>
    </row>
    <row r="283" spans="1:9">
      <c r="A283" s="778" t="s">
        <v>588</v>
      </c>
      <c r="B283" s="778"/>
      <c r="C283" s="778"/>
      <c r="D283" s="778"/>
      <c r="E283" s="778"/>
      <c r="F283" s="778"/>
      <c r="G283" s="778"/>
      <c r="H283" s="778"/>
      <c r="I283" s="115"/>
    </row>
    <row r="284" spans="1:9">
      <c r="A284" s="156"/>
      <c r="B284" s="156"/>
      <c r="C284" s="346"/>
      <c r="D284" s="346"/>
      <c r="E284" s="346"/>
      <c r="F284" s="346"/>
      <c r="G284" s="346"/>
      <c r="H284" s="156"/>
      <c r="I284" s="156"/>
    </row>
    <row r="285" spans="1:9">
      <c r="A285" s="1" t="s">
        <v>589</v>
      </c>
      <c r="B285" s="1"/>
      <c r="C285" s="21"/>
      <c r="D285" s="21"/>
      <c r="E285" s="21"/>
      <c r="F285" s="21"/>
      <c r="G285" s="130"/>
      <c r="H285" s="130"/>
      <c r="I285" s="130"/>
    </row>
    <row r="286" spans="1:9">
      <c r="A286" s="748" t="s">
        <v>249</v>
      </c>
      <c r="B286" s="748"/>
      <c r="C286" s="748"/>
      <c r="D286" s="748"/>
      <c r="E286" s="748"/>
      <c r="F286" s="347" t="s">
        <v>375</v>
      </c>
      <c r="G286" s="234"/>
      <c r="H286" s="234"/>
      <c r="I286" s="221"/>
    </row>
    <row r="287" spans="1:9" ht="15" customHeight="1">
      <c r="A287" s="659" t="s">
        <v>254</v>
      </c>
      <c r="B287" s="659"/>
      <c r="C287" s="659"/>
      <c r="D287" s="659"/>
      <c r="E287" s="659"/>
      <c r="F287" s="147">
        <f>F305</f>
        <v>556.47714359999998</v>
      </c>
      <c r="G287" s="348"/>
      <c r="H287" s="349"/>
      <c r="I287" s="213"/>
    </row>
    <row r="288" spans="1:9" ht="15" customHeight="1">
      <c r="A288" s="659" t="s">
        <v>255</v>
      </c>
      <c r="B288" s="659"/>
      <c r="C288" s="659"/>
      <c r="D288" s="659"/>
      <c r="E288" s="659"/>
      <c r="F288" s="147">
        <f>F313</f>
        <v>410.19</v>
      </c>
      <c r="G288" s="348"/>
      <c r="H288" s="350"/>
      <c r="I288" s="213"/>
    </row>
    <row r="289" spans="1:9">
      <c r="A289" s="679" t="s">
        <v>256</v>
      </c>
      <c r="B289" s="679"/>
      <c r="C289" s="679"/>
      <c r="D289" s="679"/>
      <c r="E289" s="679"/>
      <c r="F289" s="147">
        <f>F319</f>
        <v>44.362901333333333</v>
      </c>
      <c r="G289" s="348"/>
      <c r="H289" s="350"/>
      <c r="I289" s="213"/>
    </row>
    <row r="290" spans="1:9">
      <c r="A290" s="679" t="s">
        <v>376</v>
      </c>
      <c r="B290" s="679"/>
      <c r="C290" s="679"/>
      <c r="D290" s="679"/>
      <c r="E290" s="679"/>
      <c r="F290" s="351">
        <f>F329</f>
        <v>236.10773535999999</v>
      </c>
      <c r="G290" s="348"/>
      <c r="H290" s="350"/>
      <c r="I290" s="213"/>
    </row>
    <row r="291" spans="1:9">
      <c r="A291" s="679" t="s">
        <v>259</v>
      </c>
      <c r="B291" s="679"/>
      <c r="C291" s="679"/>
      <c r="D291" s="679"/>
      <c r="E291" s="679"/>
      <c r="F291" s="351">
        <f>F356</f>
        <v>228.80541666666667</v>
      </c>
      <c r="G291" s="348"/>
      <c r="H291" s="350"/>
      <c r="I291" s="213"/>
    </row>
    <row r="292" spans="1:9">
      <c r="A292" s="679" t="s">
        <v>260</v>
      </c>
      <c r="B292" s="679"/>
      <c r="C292" s="679"/>
      <c r="D292" s="679"/>
      <c r="E292" s="679"/>
      <c r="F292" s="351">
        <f>F364</f>
        <v>1367.3000000000002</v>
      </c>
      <c r="G292" s="348"/>
      <c r="H292" s="350"/>
      <c r="I292" s="213"/>
    </row>
    <row r="293" spans="1:9">
      <c r="A293" s="749" t="s">
        <v>590</v>
      </c>
      <c r="B293" s="749"/>
      <c r="C293" s="749"/>
      <c r="D293" s="749"/>
      <c r="E293" s="749"/>
      <c r="F293" s="351">
        <f>F381</f>
        <v>54.692000000000007</v>
      </c>
      <c r="G293" s="348"/>
      <c r="H293" s="350"/>
      <c r="I293" s="213"/>
    </row>
    <row r="294" spans="1:9">
      <c r="A294" s="750" t="s">
        <v>262</v>
      </c>
      <c r="B294" s="750"/>
      <c r="C294" s="750"/>
      <c r="D294" s="750"/>
      <c r="E294" s="750"/>
      <c r="F294" s="352">
        <f>G387</f>
        <v>75</v>
      </c>
      <c r="G294" s="353"/>
      <c r="H294" s="350"/>
      <c r="I294" s="213"/>
    </row>
    <row r="295" spans="1:9">
      <c r="A295" s="751" t="s">
        <v>378</v>
      </c>
      <c r="B295" s="751"/>
      <c r="C295" s="751"/>
      <c r="D295" s="751"/>
      <c r="E295" s="751"/>
      <c r="F295" s="354">
        <f>SUM(F287:F294)</f>
        <v>2972.9351969600002</v>
      </c>
      <c r="G295" s="355"/>
      <c r="H295" s="349"/>
      <c r="I295" s="213"/>
    </row>
    <row r="296" spans="1:9">
      <c r="A296" s="21"/>
      <c r="B296" s="21"/>
      <c r="C296" s="21"/>
      <c r="D296" s="21"/>
      <c r="E296" s="21"/>
      <c r="F296" s="21"/>
      <c r="G296" s="130"/>
      <c r="H296" s="213"/>
      <c r="I296" s="213"/>
    </row>
    <row r="297" spans="1:9">
      <c r="A297" s="683" t="s">
        <v>591</v>
      </c>
      <c r="B297" s="683"/>
      <c r="C297" s="683"/>
      <c r="D297" s="683"/>
      <c r="E297" s="683"/>
      <c r="F297" s="626">
        <f>'Coleta convencional'!E340</f>
        <v>41019</v>
      </c>
      <c r="G297" s="21"/>
      <c r="H297" s="137"/>
      <c r="I297" s="137"/>
    </row>
    <row r="298" spans="1:9">
      <c r="A298" s="683" t="s">
        <v>268</v>
      </c>
      <c r="B298" s="683"/>
      <c r="C298" s="683"/>
      <c r="D298" s="683"/>
      <c r="E298" s="683"/>
      <c r="F298" s="88">
        <v>1</v>
      </c>
      <c r="G298" s="21"/>
      <c r="H298" s="137"/>
      <c r="I298" s="137"/>
    </row>
    <row r="299" spans="1:9">
      <c r="A299" s="683" t="s">
        <v>269</v>
      </c>
      <c r="B299" s="683"/>
      <c r="C299" s="683"/>
      <c r="D299" s="683"/>
      <c r="E299" s="683"/>
      <c r="F299" s="88">
        <v>0</v>
      </c>
      <c r="G299" s="21"/>
      <c r="H299" s="21"/>
      <c r="I299" s="21"/>
    </row>
    <row r="300" spans="1:9">
      <c r="A300" s="683" t="s">
        <v>592</v>
      </c>
      <c r="B300" s="683"/>
      <c r="C300" s="683"/>
      <c r="D300" s="683"/>
      <c r="E300" s="683"/>
      <c r="F300" s="61">
        <f>E65*4.34*0.2</f>
        <v>950.6336</v>
      </c>
      <c r="G300" s="156" t="s">
        <v>747</v>
      </c>
      <c r="H300" s="21"/>
      <c r="I300" s="173"/>
    </row>
    <row r="301" spans="1:9">
      <c r="A301" s="115" t="s">
        <v>730</v>
      </c>
      <c r="B301" s="93"/>
      <c r="C301" s="82"/>
      <c r="D301" s="82"/>
      <c r="E301" s="82"/>
      <c r="F301" s="357"/>
      <c r="G301" s="21"/>
      <c r="H301" s="21"/>
      <c r="I301" s="173"/>
    </row>
    <row r="302" spans="1:9">
      <c r="A302" s="82"/>
      <c r="B302" s="82"/>
      <c r="C302" s="82"/>
      <c r="D302" s="82"/>
      <c r="E302" s="82"/>
      <c r="F302" s="357"/>
      <c r="G302" s="21"/>
      <c r="H302" s="21"/>
      <c r="I302" s="21"/>
    </row>
    <row r="303" spans="1:9" ht="24" customHeight="1">
      <c r="A303" s="745" t="s">
        <v>383</v>
      </c>
      <c r="B303" s="745"/>
      <c r="C303" s="745"/>
      <c r="D303" s="745"/>
      <c r="E303" s="745"/>
      <c r="F303" s="745"/>
      <c r="G303" s="745"/>
      <c r="H303" s="745"/>
      <c r="I303" s="137"/>
    </row>
    <row r="304" spans="1:9">
      <c r="A304" s="332"/>
      <c r="B304" s="332"/>
      <c r="C304" s="332"/>
      <c r="D304" s="332"/>
      <c r="E304" s="332"/>
      <c r="F304" s="332"/>
      <c r="G304" s="332"/>
      <c r="H304" s="332"/>
      <c r="I304" s="332"/>
    </row>
    <row r="305" spans="1:10">
      <c r="A305" s="1" t="s">
        <v>593</v>
      </c>
      <c r="B305" s="1"/>
      <c r="C305" s="21"/>
      <c r="D305" s="21"/>
      <c r="E305" s="21"/>
      <c r="F305" s="734">
        <f>E311</f>
        <v>556.47714359999998</v>
      </c>
      <c r="G305" s="734"/>
      <c r="H305" s="21"/>
      <c r="I305" s="21"/>
    </row>
    <row r="306" spans="1:10" s="193" customFormat="1">
      <c r="A306" s="156" t="s">
        <v>731</v>
      </c>
      <c r="B306" s="155"/>
      <c r="C306" s="155"/>
      <c r="D306" s="156"/>
      <c r="E306" s="156"/>
      <c r="F306" s="156"/>
      <c r="G306" s="594"/>
      <c r="H306" s="594"/>
      <c r="I306" s="156"/>
      <c r="J306" s="156"/>
    </row>
    <row r="307" spans="1:10">
      <c r="A307" s="156" t="s">
        <v>728</v>
      </c>
      <c r="B307" s="156"/>
      <c r="C307" s="21"/>
      <c r="D307" s="21"/>
      <c r="E307" s="21"/>
      <c r="F307" s="21"/>
      <c r="G307" s="584"/>
      <c r="H307" s="584"/>
      <c r="I307" s="21"/>
      <c r="J307" s="21"/>
    </row>
    <row r="308" spans="1:10">
      <c r="A308" s="725" t="s">
        <v>273</v>
      </c>
      <c r="B308" s="725"/>
      <c r="C308" s="725"/>
      <c r="D308" s="725"/>
      <c r="E308" s="358">
        <f>'Coleta convencional'!D351</f>
        <v>4.6829999999999998</v>
      </c>
      <c r="F308" s="359"/>
      <c r="G308" s="192"/>
      <c r="H308" s="21"/>
      <c r="I308" s="21"/>
    </row>
    <row r="309" spans="1:10">
      <c r="A309" s="725" t="s">
        <v>594</v>
      </c>
      <c r="B309" s="725"/>
      <c r="C309" s="725"/>
      <c r="D309" s="725"/>
      <c r="E309" s="47">
        <v>8</v>
      </c>
      <c r="F309" s="360"/>
      <c r="G309" s="192"/>
      <c r="H309" s="21"/>
      <c r="I309" s="21"/>
    </row>
    <row r="310" spans="1:10">
      <c r="A310" s="725" t="s">
        <v>275</v>
      </c>
      <c r="B310" s="725"/>
      <c r="C310" s="725"/>
      <c r="D310" s="725"/>
      <c r="E310" s="47">
        <f>F300/E309</f>
        <v>118.8292</v>
      </c>
      <c r="F310" s="361"/>
      <c r="G310" s="192"/>
      <c r="H310" s="21"/>
      <c r="I310" s="21"/>
    </row>
    <row r="311" spans="1:10">
      <c r="A311" s="662" t="s">
        <v>385</v>
      </c>
      <c r="B311" s="662"/>
      <c r="C311" s="662"/>
      <c r="D311" s="662"/>
      <c r="E311" s="252">
        <f>E310*E308</f>
        <v>556.47714359999998</v>
      </c>
      <c r="F311" s="331"/>
      <c r="G311" s="331"/>
      <c r="H311" s="21"/>
      <c r="I311" s="21"/>
    </row>
    <row r="312" spans="1:10">
      <c r="A312" s="21"/>
      <c r="B312" s="21"/>
      <c r="C312" s="21"/>
      <c r="D312" s="21"/>
      <c r="E312" s="21"/>
      <c r="F312" s="21"/>
      <c r="G312" s="21"/>
      <c r="H312" s="21"/>
      <c r="I312" s="21"/>
    </row>
    <row r="313" spans="1:10">
      <c r="A313" s="1" t="s">
        <v>595</v>
      </c>
      <c r="B313" s="1"/>
      <c r="C313" s="21"/>
      <c r="D313" s="21"/>
      <c r="E313" s="21"/>
      <c r="F313" s="734">
        <f>F317</f>
        <v>410.19</v>
      </c>
      <c r="G313" s="734"/>
      <c r="H313" s="21"/>
      <c r="I313" s="21"/>
    </row>
    <row r="314" spans="1:10">
      <c r="A314" s="21"/>
      <c r="B314" s="21"/>
      <c r="C314" s="21"/>
      <c r="D314" s="21"/>
      <c r="E314" s="21"/>
      <c r="F314" s="21"/>
      <c r="G314" s="21"/>
      <c r="H314" s="21"/>
      <c r="I314" s="21"/>
    </row>
    <row r="315" spans="1:10">
      <c r="A315" s="679" t="s">
        <v>387</v>
      </c>
      <c r="B315" s="679"/>
      <c r="C315" s="679"/>
      <c r="D315" s="679"/>
      <c r="E315" s="679"/>
      <c r="F315" s="265">
        <f>F297</f>
        <v>41019</v>
      </c>
      <c r="G315" s="21"/>
      <c r="H315" s="21"/>
      <c r="I315" s="21"/>
    </row>
    <row r="316" spans="1:10" ht="15" customHeight="1">
      <c r="A316" s="735" t="s">
        <v>280</v>
      </c>
      <c r="B316" s="735"/>
      <c r="C316" s="735"/>
      <c r="D316" s="735"/>
      <c r="E316" s="735"/>
      <c r="F316" s="266">
        <v>0.01</v>
      </c>
      <c r="G316" s="267"/>
      <c r="H316" s="362"/>
      <c r="I316" s="63"/>
    </row>
    <row r="317" spans="1:10">
      <c r="A317" s="683" t="s">
        <v>276</v>
      </c>
      <c r="B317" s="683"/>
      <c r="C317" s="683"/>
      <c r="D317" s="683"/>
      <c r="E317" s="683"/>
      <c r="F317" s="328">
        <f>F315*F316</f>
        <v>410.19</v>
      </c>
      <c r="G317" s="21"/>
      <c r="H317" s="21"/>
      <c r="I317" s="21"/>
    </row>
    <row r="318" spans="1:10">
      <c r="A318" s="21"/>
      <c r="B318" s="21"/>
      <c r="C318" s="21"/>
      <c r="D318" s="21"/>
      <c r="E318" s="21"/>
      <c r="F318" s="21"/>
      <c r="G318" s="21"/>
      <c r="H318" s="21"/>
      <c r="I318" s="21"/>
    </row>
    <row r="319" spans="1:10">
      <c r="A319" s="1" t="s">
        <v>596</v>
      </c>
      <c r="B319" s="1"/>
      <c r="C319" s="21"/>
      <c r="D319" s="21"/>
      <c r="E319" s="21"/>
      <c r="F319" s="734">
        <f>F327</f>
        <v>44.362901333333333</v>
      </c>
      <c r="G319" s="734"/>
      <c r="H319" s="21"/>
      <c r="I319" s="21"/>
    </row>
    <row r="320" spans="1:10">
      <c r="A320" s="21" t="s">
        <v>389</v>
      </c>
      <c r="B320" s="21"/>
      <c r="C320" s="21"/>
      <c r="D320" s="21"/>
      <c r="E320" s="21"/>
      <c r="F320" s="21"/>
      <c r="G320" s="21"/>
      <c r="H320" s="21"/>
      <c r="I320" s="21"/>
    </row>
    <row r="321" spans="1:9">
      <c r="A321" s="21" t="s">
        <v>390</v>
      </c>
      <c r="B321" s="21"/>
      <c r="C321" s="21"/>
      <c r="D321" s="21"/>
      <c r="E321" s="21"/>
      <c r="F321" s="21"/>
      <c r="G321" s="21"/>
      <c r="H321" s="21"/>
      <c r="I321" s="21"/>
    </row>
    <row r="322" spans="1:9">
      <c r="A322" s="21" t="s">
        <v>391</v>
      </c>
      <c r="B322" s="21"/>
      <c r="C322" s="21"/>
      <c r="D322" s="363">
        <v>350</v>
      </c>
      <c r="E322" s="21"/>
      <c r="F322" s="21"/>
      <c r="G322" s="21"/>
      <c r="H322" s="21"/>
      <c r="I322" s="21"/>
    </row>
    <row r="323" spans="1:9">
      <c r="A323" s="272" t="s">
        <v>392</v>
      </c>
      <c r="B323" s="272"/>
      <c r="C323" s="272"/>
      <c r="D323" s="272"/>
      <c r="E323" s="21"/>
      <c r="F323" s="21"/>
      <c r="G323" s="21"/>
      <c r="H323" s="21"/>
      <c r="I323" s="21"/>
    </row>
    <row r="324" spans="1:9">
      <c r="A324" s="736" t="s">
        <v>393</v>
      </c>
      <c r="B324" s="736"/>
      <c r="C324" s="736"/>
      <c r="D324" s="736"/>
      <c r="E324" s="21"/>
      <c r="F324" s="21"/>
      <c r="G324" s="21"/>
      <c r="H324" s="21"/>
      <c r="I324" s="21"/>
    </row>
    <row r="325" spans="1:9">
      <c r="A325" s="736" t="s">
        <v>749</v>
      </c>
      <c r="B325" s="736"/>
      <c r="C325" s="736"/>
      <c r="D325" s="736"/>
      <c r="E325" s="21"/>
      <c r="F325" s="364">
        <f>4*D322/30000</f>
        <v>4.6666666666666669E-2</v>
      </c>
      <c r="G325" s="21"/>
      <c r="H325" s="21"/>
      <c r="I325" s="21"/>
    </row>
    <row r="326" spans="1:9">
      <c r="A326" s="21"/>
      <c r="B326" s="21"/>
      <c r="C326" s="21"/>
      <c r="D326" s="21"/>
      <c r="E326" s="21"/>
      <c r="F326" s="21"/>
      <c r="G326" s="21"/>
      <c r="H326" s="21"/>
      <c r="I326" s="21"/>
    </row>
    <row r="327" spans="1:9">
      <c r="A327" s="737" t="s">
        <v>395</v>
      </c>
      <c r="B327" s="737"/>
      <c r="C327" s="737"/>
      <c r="D327" s="737"/>
      <c r="E327" s="737"/>
      <c r="F327" s="252">
        <f>F325*F300</f>
        <v>44.362901333333333</v>
      </c>
      <c r="G327" s="21"/>
      <c r="H327" s="21"/>
      <c r="I327" s="21"/>
    </row>
    <row r="328" spans="1:9">
      <c r="A328" s="192"/>
      <c r="B328" s="192"/>
      <c r="C328" s="192"/>
      <c r="D328" s="273"/>
      <c r="E328" s="365"/>
      <c r="F328" s="273"/>
      <c r="G328" s="273"/>
      <c r="H328" s="365"/>
      <c r="I328" s="273"/>
    </row>
    <row r="329" spans="1:9">
      <c r="A329" s="1" t="s">
        <v>597</v>
      </c>
      <c r="B329" s="1"/>
      <c r="C329" s="21"/>
      <c r="D329" s="21"/>
      <c r="E329" s="21"/>
      <c r="F329" s="677">
        <f>F336+F342+F347</f>
        <v>236.10773535999999</v>
      </c>
      <c r="G329" s="677"/>
      <c r="H329" s="21"/>
      <c r="I329" s="21"/>
    </row>
    <row r="330" spans="1:9">
      <c r="A330" s="21"/>
      <c r="B330" s="21"/>
      <c r="C330" s="21"/>
      <c r="D330" s="21"/>
      <c r="E330" s="21"/>
      <c r="F330" s="21"/>
      <c r="G330" s="21"/>
      <c r="H330" s="21"/>
      <c r="I330" s="21"/>
    </row>
    <row r="331" spans="1:9">
      <c r="A331" s="1" t="s">
        <v>397</v>
      </c>
      <c r="B331" s="1"/>
      <c r="C331" s="21"/>
      <c r="D331" s="21"/>
      <c r="E331" s="21"/>
      <c r="F331" s="125"/>
      <c r="G331" s="125"/>
      <c r="H331" s="192"/>
      <c r="I331" s="192"/>
    </row>
    <row r="332" spans="1:9">
      <c r="A332" s="725" t="s">
        <v>296</v>
      </c>
      <c r="B332" s="725"/>
      <c r="C332" s="725"/>
      <c r="D332" s="725"/>
      <c r="E332" s="725"/>
      <c r="F332" s="26">
        <v>3.5</v>
      </c>
      <c r="G332" s="366"/>
      <c r="H332" s="192"/>
      <c r="I332" s="192"/>
    </row>
    <row r="333" spans="1:9">
      <c r="A333" s="725" t="s">
        <v>297</v>
      </c>
      <c r="B333" s="725"/>
      <c r="C333" s="725"/>
      <c r="D333" s="725"/>
      <c r="E333" s="725"/>
      <c r="F333" s="245">
        <v>56</v>
      </c>
      <c r="G333" s="367" t="s">
        <v>398</v>
      </c>
      <c r="H333" s="192"/>
      <c r="I333" s="192"/>
    </row>
    <row r="334" spans="1:9">
      <c r="A334" s="725" t="s">
        <v>299</v>
      </c>
      <c r="B334" s="725"/>
      <c r="C334" s="725"/>
      <c r="D334" s="725"/>
      <c r="E334" s="725"/>
      <c r="F334" s="283">
        <v>20000</v>
      </c>
      <c r="G334" s="368"/>
      <c r="H334" s="192"/>
      <c r="I334" s="192"/>
    </row>
    <row r="335" spans="1:9">
      <c r="A335" s="725" t="s">
        <v>300</v>
      </c>
      <c r="B335" s="725"/>
      <c r="C335" s="725"/>
      <c r="D335" s="725"/>
      <c r="E335" s="725"/>
      <c r="F335" s="369">
        <f>(F333*F332)/F334</f>
        <v>9.7999999999999997E-3</v>
      </c>
      <c r="G335" s="370"/>
      <c r="H335" s="192"/>
      <c r="I335" s="192"/>
    </row>
    <row r="336" spans="1:9">
      <c r="A336" s="662" t="s">
        <v>399</v>
      </c>
      <c r="B336" s="662"/>
      <c r="C336" s="662"/>
      <c r="D336" s="662"/>
      <c r="E336" s="662"/>
      <c r="F336" s="252">
        <f>F335*F300</f>
        <v>9.3162092799999989</v>
      </c>
      <c r="G336" s="371"/>
      <c r="H336" s="331"/>
      <c r="I336" s="192"/>
    </row>
    <row r="337" spans="1:9">
      <c r="A337" s="21"/>
      <c r="B337" s="21"/>
      <c r="C337" s="21"/>
      <c r="D337" s="21"/>
      <c r="E337" s="21"/>
      <c r="F337" s="21"/>
      <c r="G337" s="192"/>
      <c r="H337" s="192"/>
      <c r="I337" s="192"/>
    </row>
    <row r="338" spans="1:9">
      <c r="A338" s="1" t="s">
        <v>316</v>
      </c>
      <c r="B338" s="1"/>
      <c r="C338" s="21"/>
      <c r="D338" s="21"/>
      <c r="E338" s="21"/>
      <c r="F338" s="125"/>
      <c r="G338" s="125"/>
      <c r="H338" s="192"/>
      <c r="I338" s="192"/>
    </row>
    <row r="339" spans="1:9">
      <c r="A339" s="725" t="s">
        <v>400</v>
      </c>
      <c r="B339" s="725"/>
      <c r="C339" s="725"/>
      <c r="D339" s="725"/>
      <c r="E339" s="725"/>
      <c r="F339" s="245">
        <f>(28+41+34)</f>
        <v>103</v>
      </c>
      <c r="G339" s="372" t="s">
        <v>401</v>
      </c>
      <c r="H339" s="373">
        <v>28</v>
      </c>
    </row>
    <row r="340" spans="1:9">
      <c r="A340" s="725" t="s">
        <v>299</v>
      </c>
      <c r="B340" s="725"/>
      <c r="C340" s="725"/>
      <c r="D340" s="725"/>
      <c r="E340" s="725"/>
      <c r="F340" s="47">
        <v>10000</v>
      </c>
      <c r="G340" s="374" t="s">
        <v>402</v>
      </c>
      <c r="H340" s="373">
        <v>41</v>
      </c>
    </row>
    <row r="341" spans="1:9">
      <c r="A341" s="725" t="s">
        <v>300</v>
      </c>
      <c r="B341" s="725"/>
      <c r="C341" s="725"/>
      <c r="D341" s="725"/>
      <c r="E341" s="725"/>
      <c r="F341" s="369">
        <f>F339/F340</f>
        <v>1.03E-2</v>
      </c>
      <c r="G341" s="375" t="s">
        <v>403</v>
      </c>
      <c r="H341" s="373">
        <v>33.799999999999997</v>
      </c>
    </row>
    <row r="342" spans="1:9">
      <c r="A342" s="662" t="s">
        <v>399</v>
      </c>
      <c r="B342" s="662"/>
      <c r="C342" s="662"/>
      <c r="D342" s="662"/>
      <c r="E342" s="662"/>
      <c r="F342" s="252">
        <f>F341*F300</f>
        <v>9.7915260800000006</v>
      </c>
      <c r="G342" s="331"/>
      <c r="H342" s="331"/>
      <c r="I342" s="192"/>
    </row>
    <row r="343" spans="1:9">
      <c r="A343" s="21"/>
      <c r="B343" s="21"/>
      <c r="C343" s="21"/>
      <c r="D343" s="21"/>
      <c r="E343" s="21"/>
      <c r="F343" s="21"/>
      <c r="G343" s="192"/>
      <c r="H343" s="192"/>
      <c r="I343" s="192"/>
    </row>
    <row r="344" spans="1:9">
      <c r="A344" s="1" t="s">
        <v>258</v>
      </c>
      <c r="B344" s="1"/>
      <c r="C344" s="21"/>
      <c r="D344" s="21"/>
      <c r="E344" s="21"/>
      <c r="F344" s="125"/>
      <c r="G344" s="125"/>
      <c r="H344" s="192"/>
      <c r="I344" s="192"/>
    </row>
    <row r="345" spans="1:9" ht="15" customHeight="1">
      <c r="A345" s="681" t="s">
        <v>598</v>
      </c>
      <c r="B345" s="681"/>
      <c r="C345" s="681"/>
      <c r="D345" s="681"/>
      <c r="E345" s="681"/>
      <c r="F345" s="241">
        <f>50*4.34</f>
        <v>217</v>
      </c>
      <c r="G345" s="376"/>
      <c r="H345" s="192"/>
      <c r="I345" s="192"/>
    </row>
    <row r="346" spans="1:9">
      <c r="A346" s="725" t="s">
        <v>405</v>
      </c>
      <c r="B346" s="725"/>
      <c r="C346" s="725"/>
      <c r="D346" s="725"/>
      <c r="E346" s="725"/>
      <c r="F346" s="47">
        <f>F298</f>
        <v>1</v>
      </c>
      <c r="G346" s="360"/>
      <c r="H346" s="192"/>
      <c r="I346" s="192"/>
    </row>
    <row r="347" spans="1:9">
      <c r="A347" s="662" t="s">
        <v>399</v>
      </c>
      <c r="B347" s="662"/>
      <c r="C347" s="662"/>
      <c r="D347" s="662"/>
      <c r="E347" s="662"/>
      <c r="F347" s="252">
        <f>F345*F346</f>
        <v>217</v>
      </c>
      <c r="G347" s="331"/>
      <c r="H347" s="331"/>
      <c r="I347" s="192"/>
    </row>
    <row r="348" spans="1:9">
      <c r="A348" s="21"/>
      <c r="B348" s="21"/>
      <c r="C348" s="21"/>
      <c r="D348" s="21"/>
      <c r="E348" s="21"/>
      <c r="F348" s="192"/>
      <c r="G348" s="192"/>
      <c r="H348" s="192"/>
      <c r="I348" s="192"/>
    </row>
    <row r="349" spans="1:9">
      <c r="A349" s="1" t="s">
        <v>599</v>
      </c>
      <c r="B349" s="1"/>
      <c r="C349" s="21"/>
      <c r="D349" s="21"/>
      <c r="E349" s="21"/>
      <c r="F349" s="734">
        <f>F356</f>
        <v>228.80541666666667</v>
      </c>
      <c r="G349" s="734"/>
      <c r="H349" s="21"/>
      <c r="I349" s="21"/>
    </row>
    <row r="350" spans="1:9">
      <c r="A350" s="21"/>
      <c r="B350" s="21"/>
      <c r="C350" s="21"/>
      <c r="D350" s="21"/>
      <c r="E350" s="21"/>
      <c r="F350" s="21"/>
      <c r="G350" s="21"/>
      <c r="H350" s="21"/>
      <c r="I350" s="21"/>
    </row>
    <row r="351" spans="1:9">
      <c r="A351" s="725" t="s">
        <v>330</v>
      </c>
      <c r="B351" s="725"/>
      <c r="C351" s="725"/>
      <c r="D351" s="725"/>
      <c r="E351" s="725"/>
      <c r="F351" s="377">
        <v>5.23</v>
      </c>
      <c r="G351" s="21"/>
      <c r="H351" s="21"/>
      <c r="I351" s="21"/>
    </row>
    <row r="352" spans="1:9">
      <c r="A352" s="725" t="s">
        <v>407</v>
      </c>
      <c r="B352" s="725"/>
      <c r="C352" s="725"/>
      <c r="D352" s="725"/>
      <c r="E352" s="725"/>
      <c r="F352" s="378">
        <f>2.5/100*F297</f>
        <v>1025.4750000000001</v>
      </c>
      <c r="G352" s="21"/>
      <c r="H352" s="21"/>
      <c r="I352" s="21"/>
    </row>
    <row r="353" spans="1:9">
      <c r="A353" s="725" t="s">
        <v>408</v>
      </c>
      <c r="B353" s="725"/>
      <c r="C353" s="725"/>
      <c r="D353" s="725"/>
      <c r="E353" s="725"/>
      <c r="F353" s="378">
        <f>0.04*F297</f>
        <v>1640.76</v>
      </c>
      <c r="G353" s="21"/>
      <c r="H353" s="21"/>
      <c r="I353" s="21"/>
    </row>
    <row r="354" spans="1:9">
      <c r="A354" s="725" t="s">
        <v>333</v>
      </c>
      <c r="B354" s="725"/>
      <c r="C354" s="725"/>
      <c r="D354" s="725"/>
      <c r="E354" s="725"/>
      <c r="F354" s="377">
        <v>74.2</v>
      </c>
      <c r="G354" s="21"/>
      <c r="H354" s="21"/>
      <c r="I354" s="21"/>
    </row>
    <row r="355" spans="1:9">
      <c r="A355" s="725" t="s">
        <v>334</v>
      </c>
      <c r="B355" s="725"/>
      <c r="C355" s="725"/>
      <c r="D355" s="725"/>
      <c r="E355" s="725"/>
      <c r="F355" s="378">
        <f>(F351+F352+F353+F354)</f>
        <v>2745.665</v>
      </c>
      <c r="G355" s="21"/>
      <c r="H355" s="21"/>
      <c r="I355" s="21"/>
    </row>
    <row r="356" spans="1:9">
      <c r="A356" s="662" t="s">
        <v>378</v>
      </c>
      <c r="B356" s="662"/>
      <c r="C356" s="662"/>
      <c r="D356" s="662"/>
      <c r="E356" s="662"/>
      <c r="F356" s="379">
        <f>F355/12</f>
        <v>228.80541666666667</v>
      </c>
      <c r="G356" s="21"/>
      <c r="H356" s="21"/>
      <c r="I356" s="21"/>
    </row>
    <row r="357" spans="1:9">
      <c r="A357" s="259"/>
      <c r="B357" s="259"/>
      <c r="C357" s="259"/>
      <c r="D357" s="259"/>
      <c r="E357" s="259"/>
      <c r="F357" s="331"/>
      <c r="G357" s="21"/>
      <c r="H357" s="21"/>
      <c r="I357" s="21"/>
    </row>
    <row r="358" spans="1:9">
      <c r="A358" s="1" t="s">
        <v>600</v>
      </c>
      <c r="B358" s="1"/>
      <c r="C358" s="21"/>
      <c r="D358" s="21"/>
      <c r="E358" s="21"/>
      <c r="F358" s="734">
        <f>F364</f>
        <v>1367.3000000000002</v>
      </c>
      <c r="G358" s="734"/>
      <c r="H358" s="21"/>
      <c r="I358" s="21"/>
    </row>
    <row r="359" spans="1:9">
      <c r="A359" s="324" t="s">
        <v>340</v>
      </c>
      <c r="B359" s="324"/>
      <c r="C359" s="21"/>
      <c r="D359" s="21"/>
      <c r="E359" s="21"/>
      <c r="F359" s="21"/>
      <c r="G359" s="21"/>
      <c r="H359" s="21"/>
      <c r="I359" s="21"/>
    </row>
    <row r="360" spans="1:9">
      <c r="A360" s="725" t="s">
        <v>410</v>
      </c>
      <c r="B360" s="725"/>
      <c r="C360" s="725"/>
      <c r="D360" s="725"/>
      <c r="E360" s="725"/>
      <c r="F360" s="356">
        <f>F297</f>
        <v>41019</v>
      </c>
      <c r="G360" s="21"/>
      <c r="H360" s="21"/>
      <c r="I360" s="21"/>
    </row>
    <row r="361" spans="1:9">
      <c r="A361" s="725" t="s">
        <v>411</v>
      </c>
      <c r="B361" s="725"/>
      <c r="C361" s="725"/>
      <c r="D361" s="725"/>
      <c r="E361" s="725"/>
      <c r="F361" s="356">
        <f>F360*0.2</f>
        <v>8203.8000000000011</v>
      </c>
      <c r="G361" s="21"/>
      <c r="H361" s="21"/>
      <c r="I361" s="21"/>
    </row>
    <row r="362" spans="1:9">
      <c r="A362" s="725" t="s">
        <v>412</v>
      </c>
      <c r="B362" s="725"/>
      <c r="C362" s="725"/>
      <c r="D362" s="725"/>
      <c r="E362" s="725"/>
      <c r="F362" s="26">
        <v>2</v>
      </c>
      <c r="G362" s="21"/>
      <c r="H362" s="21"/>
      <c r="I362" s="21"/>
    </row>
    <row r="363" spans="1:9">
      <c r="A363" s="725" t="s">
        <v>413</v>
      </c>
      <c r="B363" s="725"/>
      <c r="C363" s="725"/>
      <c r="D363" s="725"/>
      <c r="E363" s="725"/>
      <c r="F363" s="380">
        <v>0.5</v>
      </c>
      <c r="G363" s="21"/>
      <c r="H363" s="21"/>
      <c r="I363" s="21"/>
    </row>
    <row r="364" spans="1:9">
      <c r="A364" s="662" t="s">
        <v>378</v>
      </c>
      <c r="B364" s="662"/>
      <c r="C364" s="662"/>
      <c r="D364" s="662"/>
      <c r="E364" s="662"/>
      <c r="F364" s="286">
        <f>F360*0.8/24</f>
        <v>1367.3000000000002</v>
      </c>
      <c r="G364" s="21"/>
      <c r="H364" s="21"/>
      <c r="I364" s="21"/>
    </row>
    <row r="365" spans="1:9">
      <c r="A365" s="259"/>
      <c r="B365" s="259"/>
      <c r="C365" s="259"/>
      <c r="D365" s="259"/>
      <c r="E365" s="259"/>
      <c r="F365" s="381"/>
      <c r="G365" s="21"/>
      <c r="H365" s="21"/>
      <c r="I365" s="21"/>
    </row>
    <row r="366" spans="1:9">
      <c r="A366" s="259" t="s">
        <v>601</v>
      </c>
      <c r="B366" s="259"/>
      <c r="C366" s="259"/>
      <c r="D366" s="259"/>
      <c r="E366" s="259"/>
      <c r="F366" s="782">
        <f>F381</f>
        <v>54.692000000000007</v>
      </c>
      <c r="G366" s="782"/>
      <c r="H366" s="21"/>
      <c r="I366" s="21"/>
    </row>
    <row r="367" spans="1:9">
      <c r="A367" s="324" t="s">
        <v>355</v>
      </c>
      <c r="B367" s="324"/>
      <c r="C367" s="21"/>
      <c r="D367" s="21"/>
      <c r="E367" s="21"/>
      <c r="F367" s="21"/>
      <c r="G367" s="21"/>
      <c r="H367" s="21"/>
      <c r="I367" s="21"/>
    </row>
    <row r="368" spans="1:9">
      <c r="A368" s="21" t="s">
        <v>356</v>
      </c>
      <c r="B368" s="21"/>
      <c r="C368" s="21"/>
      <c r="D368" s="21"/>
      <c r="E368" s="21"/>
      <c r="F368" s="21"/>
      <c r="G368" s="21"/>
      <c r="H368" s="21"/>
      <c r="I368" s="21"/>
    </row>
    <row r="369" spans="1:9" ht="24" customHeight="1">
      <c r="A369" s="745" t="s">
        <v>415</v>
      </c>
      <c r="B369" s="745"/>
      <c r="C369" s="745"/>
      <c r="D369" s="745"/>
      <c r="E369" s="745"/>
      <c r="F369" s="745"/>
      <c r="G369" s="745"/>
      <c r="H369" s="745"/>
      <c r="I369" s="21"/>
    </row>
    <row r="370" spans="1:9">
      <c r="A370" s="21"/>
      <c r="B370" s="21"/>
      <c r="C370" s="21"/>
      <c r="D370" s="21"/>
      <c r="E370" s="21"/>
      <c r="F370" s="21"/>
      <c r="G370" s="21"/>
      <c r="H370" s="21"/>
      <c r="I370" s="21"/>
    </row>
    <row r="371" spans="1:9">
      <c r="A371" s="333" t="s">
        <v>358</v>
      </c>
      <c r="B371" s="333"/>
      <c r="C371" s="21"/>
      <c r="D371" s="21"/>
      <c r="E371" s="21"/>
      <c r="F371" s="21"/>
      <c r="G371" s="21"/>
      <c r="H371" s="21"/>
      <c r="I371" s="21"/>
    </row>
    <row r="372" spans="1:9">
      <c r="A372" s="333" t="s">
        <v>359</v>
      </c>
      <c r="B372" s="333"/>
      <c r="C372" s="21"/>
      <c r="D372" s="21"/>
      <c r="E372" s="21"/>
      <c r="F372" s="21"/>
      <c r="G372" s="21"/>
      <c r="H372" s="21"/>
      <c r="I372" s="21"/>
    </row>
    <row r="373" spans="1:9">
      <c r="A373" s="333" t="s">
        <v>360</v>
      </c>
      <c r="B373" s="333"/>
      <c r="C373" s="21"/>
      <c r="D373" s="21"/>
      <c r="E373" s="21"/>
      <c r="F373" s="21"/>
      <c r="G373" s="21"/>
      <c r="H373" s="21"/>
      <c r="I373" s="21"/>
    </row>
    <row r="374" spans="1:9">
      <c r="A374" s="333" t="s">
        <v>416</v>
      </c>
      <c r="B374" s="333"/>
      <c r="C374" s="21"/>
      <c r="D374" s="21"/>
      <c r="E374" s="21"/>
      <c r="F374" s="21"/>
      <c r="G374" s="21"/>
      <c r="H374" s="21"/>
      <c r="I374" s="21"/>
    </row>
    <row r="375" spans="1:9">
      <c r="A375" s="333"/>
      <c r="B375" s="333"/>
      <c r="C375" s="21"/>
      <c r="D375" s="21"/>
      <c r="E375" s="21"/>
      <c r="F375" s="21"/>
      <c r="G375" s="21"/>
      <c r="H375" s="21"/>
      <c r="I375" s="21"/>
    </row>
    <row r="376" spans="1:9">
      <c r="A376" s="334" t="s">
        <v>362</v>
      </c>
      <c r="B376" s="335">
        <f>(2+(2-1)*(1+20/100))/(2*2)</f>
        <v>0.8</v>
      </c>
      <c r="D376" s="21"/>
      <c r="E376" s="21"/>
      <c r="F376" s="21"/>
      <c r="G376" s="21"/>
      <c r="H376" s="21"/>
      <c r="I376" s="21"/>
    </row>
    <row r="377" spans="1:9">
      <c r="A377" s="333" t="str">
        <f>A265</f>
        <v>Taxa de juros acumulada, apurada em fev/2021 SELIC (2,00%) = 0,17%a.m.</v>
      </c>
      <c r="B377" s="21"/>
      <c r="C377" s="21"/>
      <c r="H377" s="21"/>
      <c r="I377" s="21"/>
    </row>
    <row r="378" spans="1:9">
      <c r="A378" s="337" t="s">
        <v>363</v>
      </c>
      <c r="B378" s="337"/>
      <c r="C378" s="21"/>
      <c r="D378" s="21"/>
      <c r="E378" s="21"/>
      <c r="F378" s="21"/>
      <c r="G378" s="21"/>
      <c r="H378" s="21"/>
      <c r="I378" s="21"/>
    </row>
    <row r="379" spans="1:9">
      <c r="A379" s="26" t="s">
        <v>364</v>
      </c>
      <c r="B379" s="268">
        <f>F315*B376*F379/100</f>
        <v>54.692000000000007</v>
      </c>
      <c r="D379" s="21"/>
      <c r="E379" s="21"/>
      <c r="F379" s="173">
        <f>G267</f>
        <v>0.16666666666666666</v>
      </c>
      <c r="H379" s="21"/>
      <c r="I379" s="21"/>
    </row>
    <row r="380" spans="1:9">
      <c r="A380" s="338"/>
      <c r="B380" s="338"/>
      <c r="C380" s="22"/>
      <c r="D380" s="22"/>
      <c r="E380" s="22"/>
      <c r="F380" s="22"/>
      <c r="G380" s="22"/>
      <c r="H380" s="22"/>
      <c r="I380" s="21"/>
    </row>
    <row r="381" spans="1:9">
      <c r="A381" s="662" t="s">
        <v>366</v>
      </c>
      <c r="B381" s="662"/>
      <c r="C381" s="662"/>
      <c r="D381" s="662"/>
      <c r="E381" s="662"/>
      <c r="F381" s="340">
        <f>B379</f>
        <v>54.692000000000007</v>
      </c>
      <c r="G381" s="21"/>
      <c r="H381" s="21"/>
      <c r="I381" s="21"/>
    </row>
    <row r="382" spans="1:9">
      <c r="A382" s="82"/>
      <c r="B382" s="82"/>
      <c r="C382" s="82"/>
      <c r="D382" s="82"/>
      <c r="E382" s="82"/>
      <c r="F382" s="82"/>
      <c r="G382" s="331"/>
      <c r="H382" s="21"/>
      <c r="I382" s="21"/>
    </row>
    <row r="383" spans="1:9">
      <c r="A383" s="1" t="s">
        <v>602</v>
      </c>
      <c r="B383" s="1"/>
      <c r="C383" s="21"/>
      <c r="D383" s="21"/>
      <c r="E383" s="21"/>
      <c r="F383" s="677">
        <f>G387</f>
        <v>75</v>
      </c>
      <c r="G383" s="677"/>
      <c r="H383" s="113"/>
      <c r="I383" s="21"/>
    </row>
    <row r="384" spans="1:9">
      <c r="A384" s="1"/>
      <c r="B384" s="1"/>
      <c r="C384" s="21"/>
      <c r="D384" s="21"/>
      <c r="E384" s="21"/>
      <c r="F384" s="21"/>
      <c r="G384" s="21"/>
      <c r="H384" s="21"/>
      <c r="I384" s="21"/>
    </row>
    <row r="385" spans="1:9">
      <c r="A385" s="725" t="s">
        <v>418</v>
      </c>
      <c r="B385" s="725"/>
      <c r="C385" s="725"/>
      <c r="D385" s="725"/>
      <c r="E385" s="725"/>
      <c r="F385" s="725"/>
      <c r="G385" s="245">
        <v>180</v>
      </c>
      <c r="H385" s="21"/>
      <c r="I385" s="21"/>
    </row>
    <row r="386" spans="1:9">
      <c r="A386" s="679" t="s">
        <v>371</v>
      </c>
      <c r="B386" s="679"/>
      <c r="C386" s="679"/>
      <c r="D386" s="679"/>
      <c r="E386" s="679"/>
      <c r="F386" s="679"/>
      <c r="G386" s="245">
        <v>60</v>
      </c>
      <c r="H386" s="21"/>
      <c r="I386" s="21"/>
    </row>
    <row r="387" spans="1:9">
      <c r="A387" s="662" t="s">
        <v>281</v>
      </c>
      <c r="B387" s="662"/>
      <c r="C387" s="662"/>
      <c r="D387" s="662"/>
      <c r="E387" s="662"/>
      <c r="F387" s="662"/>
      <c r="G387" s="307">
        <f>G386+G385/12</f>
        <v>75</v>
      </c>
      <c r="H387" s="21"/>
      <c r="I387" s="21"/>
    </row>
    <row r="388" spans="1:9">
      <c r="A388" s="259"/>
      <c r="B388" s="259"/>
      <c r="C388" s="259"/>
      <c r="D388" s="259"/>
      <c r="E388" s="259"/>
      <c r="F388" s="259"/>
      <c r="G388" s="260"/>
      <c r="H388" s="21"/>
      <c r="I388" s="21"/>
    </row>
    <row r="389" spans="1:9">
      <c r="A389" s="689" t="s">
        <v>603</v>
      </c>
      <c r="B389" s="689"/>
      <c r="C389" s="689"/>
      <c r="D389" s="689"/>
      <c r="E389" s="689"/>
      <c r="F389" s="689"/>
      <c r="G389" s="689"/>
      <c r="H389" s="689"/>
      <c r="I389" s="21"/>
    </row>
    <row r="390" spans="1:9">
      <c r="F390" s="21"/>
      <c r="G390" s="21"/>
      <c r="H390" s="21"/>
      <c r="I390" s="21"/>
    </row>
    <row r="391" spans="1:9" ht="15" customHeight="1">
      <c r="A391" s="783" t="s">
        <v>604</v>
      </c>
      <c r="B391" s="783"/>
      <c r="C391" s="783"/>
      <c r="D391" s="382">
        <f>H131</f>
        <v>23674.459427519974</v>
      </c>
      <c r="F391" s="21"/>
      <c r="G391" s="21"/>
      <c r="H391" s="21"/>
      <c r="I391" s="21"/>
    </row>
    <row r="392" spans="1:9" ht="15" customHeight="1">
      <c r="A392" s="783" t="s">
        <v>422</v>
      </c>
      <c r="B392" s="783"/>
      <c r="C392" s="783"/>
      <c r="D392" s="382">
        <f>F295</f>
        <v>2972.9351969600002</v>
      </c>
      <c r="F392" s="21"/>
      <c r="G392" s="21"/>
      <c r="H392" s="21"/>
      <c r="I392" s="21"/>
    </row>
    <row r="393" spans="1:9" ht="15" customHeight="1">
      <c r="A393" s="783" t="s">
        <v>423</v>
      </c>
      <c r="B393" s="783"/>
      <c r="C393" s="783"/>
      <c r="D393" s="382">
        <f>SUM(D391:D392)</f>
        <v>26647.394624479974</v>
      </c>
      <c r="F393" s="21"/>
      <c r="G393" s="21"/>
      <c r="H393" s="21"/>
      <c r="I393" s="21"/>
    </row>
    <row r="394" spans="1:9" ht="13.9" customHeight="1">
      <c r="A394" s="783" t="s">
        <v>605</v>
      </c>
      <c r="B394" s="783"/>
      <c r="C394" s="783"/>
      <c r="D394" s="382">
        <f>D393*(BDI!$B$12)</f>
        <v>6762.9249805576765</v>
      </c>
      <c r="F394" s="21"/>
      <c r="G394" s="21"/>
      <c r="H394" s="21"/>
      <c r="I394" s="21"/>
    </row>
    <row r="395" spans="1:9">
      <c r="A395" s="697" t="s">
        <v>238</v>
      </c>
      <c r="B395" s="697"/>
      <c r="C395" s="697"/>
      <c r="D395" s="542">
        <f>D393+D394</f>
        <v>33410.31960503765</v>
      </c>
      <c r="E395" s="21"/>
      <c r="F395" s="21"/>
      <c r="G395" s="21"/>
      <c r="H395" s="21"/>
      <c r="I395" s="21"/>
    </row>
    <row r="396" spans="1:9">
      <c r="A396" s="543"/>
      <c r="B396" s="543"/>
      <c r="C396" s="543"/>
      <c r="D396" s="544"/>
      <c r="E396" s="21"/>
      <c r="F396" s="21"/>
      <c r="G396" s="21"/>
      <c r="H396" s="21"/>
      <c r="I396" s="21"/>
    </row>
    <row r="397" spans="1:9">
      <c r="A397" s="757" t="s">
        <v>606</v>
      </c>
      <c r="B397" s="757"/>
      <c r="C397" s="757"/>
      <c r="D397" s="757"/>
      <c r="E397" s="757"/>
      <c r="F397" s="757"/>
      <c r="G397" s="757"/>
      <c r="H397" s="757"/>
      <c r="I397" s="21"/>
    </row>
    <row r="398" spans="1:9">
      <c r="A398" s="192"/>
      <c r="B398" s="395"/>
      <c r="C398" s="395"/>
      <c r="D398" s="395"/>
      <c r="E398" s="395"/>
      <c r="F398" s="396"/>
      <c r="G398" s="192"/>
      <c r="H398" s="21"/>
      <c r="I398" s="21"/>
    </row>
    <row r="399" spans="1:9">
      <c r="A399" s="125"/>
      <c r="B399" s="662" t="s">
        <v>448</v>
      </c>
      <c r="C399" s="662"/>
      <c r="D399" s="662"/>
      <c r="E399" s="25" t="s">
        <v>449</v>
      </c>
      <c r="G399" s="545"/>
      <c r="H399" s="21"/>
      <c r="I399" s="21"/>
    </row>
    <row r="400" spans="1:9">
      <c r="A400" s="81"/>
      <c r="B400" s="725" t="s">
        <v>452</v>
      </c>
      <c r="C400" s="725"/>
      <c r="D400" s="725"/>
      <c r="E400" s="399">
        <f>D395</f>
        <v>33410.31960503765</v>
      </c>
      <c r="G400" s="396"/>
      <c r="H400" s="21"/>
      <c r="I400" s="21"/>
    </row>
    <row r="401" spans="1:9">
      <c r="A401" s="81"/>
      <c r="B401" s="725" t="s">
        <v>456</v>
      </c>
      <c r="C401" s="725"/>
      <c r="D401" s="725"/>
      <c r="E401" s="399">
        <f>F112</f>
        <v>44312.753422931666</v>
      </c>
      <c r="G401" s="396"/>
      <c r="H401" s="21"/>
      <c r="I401" s="21"/>
    </row>
    <row r="402" spans="1:9">
      <c r="A402" s="81"/>
      <c r="B402" s="759" t="s">
        <v>607</v>
      </c>
      <c r="C402" s="759"/>
      <c r="D402" s="759"/>
      <c r="E402" s="546">
        <f>SUM(E400:E401)</f>
        <v>77723.073027969309</v>
      </c>
      <c r="G402" s="396"/>
      <c r="H402" s="21"/>
      <c r="I402" s="21"/>
    </row>
    <row r="403" spans="1:9">
      <c r="A403" s="81"/>
      <c r="B403" s="784"/>
      <c r="C403" s="784"/>
      <c r="D403" s="784"/>
      <c r="E403" s="784"/>
      <c r="F403" s="784"/>
      <c r="G403" s="396"/>
      <c r="H403" s="192"/>
      <c r="I403" s="21"/>
    </row>
    <row r="404" spans="1:9">
      <c r="A404" s="689" t="s">
        <v>608</v>
      </c>
      <c r="B404" s="689"/>
      <c r="C404" s="689"/>
      <c r="D404" s="689"/>
      <c r="E404" s="689"/>
      <c r="F404" s="689"/>
      <c r="G404" s="689"/>
      <c r="H404" s="689"/>
      <c r="I404" s="113"/>
    </row>
    <row r="405" spans="1:9">
      <c r="I405" s="113"/>
    </row>
    <row r="406" spans="1:9">
      <c r="A406" s="785" t="s">
        <v>609</v>
      </c>
      <c r="B406" s="785"/>
      <c r="C406" s="785"/>
      <c r="D406" s="785"/>
      <c r="E406" s="32">
        <v>10</v>
      </c>
      <c r="I406" s="126"/>
    </row>
    <row r="407" spans="1:9" ht="36" customHeight="1">
      <c r="A407" s="727" t="s">
        <v>750</v>
      </c>
      <c r="B407" s="727"/>
      <c r="C407" s="727"/>
      <c r="D407" s="727"/>
      <c r="E407" s="27">
        <v>1.19</v>
      </c>
      <c r="I407" s="213"/>
    </row>
    <row r="408" spans="1:9">
      <c r="A408" s="406"/>
      <c r="B408" s="406"/>
      <c r="C408" s="407"/>
      <c r="D408" s="408"/>
      <c r="E408" s="409"/>
      <c r="F408" s="113"/>
      <c r="G408" s="317"/>
      <c r="H408" s="113"/>
      <c r="I408" s="126"/>
    </row>
    <row r="409" spans="1:9">
      <c r="A409" s="662" t="s">
        <v>610</v>
      </c>
      <c r="B409" s="662"/>
      <c r="C409" s="662"/>
      <c r="D409" s="662"/>
      <c r="E409" s="548">
        <f>E406*2*E407</f>
        <v>23.799999999999997</v>
      </c>
    </row>
    <row r="410" spans="1:9">
      <c r="A410" s="662" t="s">
        <v>611</v>
      </c>
      <c r="B410" s="662"/>
      <c r="C410" s="662"/>
      <c r="D410" s="662"/>
      <c r="E410" s="549">
        <f>E409*(1+BDI!$B$12)</f>
        <v>29.840275862068964</v>
      </c>
    </row>
    <row r="411" spans="1:9">
      <c r="A411" s="689" t="s">
        <v>612</v>
      </c>
      <c r="B411" s="689"/>
      <c r="C411" s="689"/>
      <c r="D411" s="689"/>
      <c r="E411" s="550">
        <f>E410*E41</f>
        <v>2387.2220689655169</v>
      </c>
    </row>
    <row r="413" spans="1:9">
      <c r="A413" s="193"/>
      <c r="B413" s="193"/>
      <c r="C413" s="193"/>
      <c r="D413" s="193"/>
      <c r="E413" s="193"/>
      <c r="F413" s="193"/>
      <c r="G413" s="193"/>
      <c r="H413" s="193"/>
    </row>
    <row r="414" spans="1:9">
      <c r="A414" s="193"/>
      <c r="B414" s="193"/>
      <c r="C414" s="193"/>
      <c r="D414" s="193"/>
      <c r="E414" s="193"/>
      <c r="F414" s="193"/>
      <c r="G414" s="193"/>
      <c r="H414" s="193"/>
    </row>
    <row r="415" spans="1:9">
      <c r="A415" s="193"/>
      <c r="B415" s="193"/>
      <c r="C415" s="193"/>
      <c r="D415" s="193"/>
      <c r="E415" s="193"/>
      <c r="F415" s="193"/>
      <c r="G415" s="193"/>
      <c r="H415" s="193"/>
    </row>
    <row r="416" spans="1:9" ht="17.25" customHeight="1">
      <c r="A416" s="193"/>
      <c r="B416" s="193"/>
      <c r="C416" s="193"/>
      <c r="D416" s="193"/>
      <c r="E416" s="193"/>
      <c r="F416" s="193"/>
      <c r="G416" s="193"/>
      <c r="H416" s="193"/>
    </row>
    <row r="417" spans="1:8" ht="15" customHeight="1">
      <c r="A417" s="193"/>
      <c r="B417" s="193"/>
      <c r="C417" s="193"/>
      <c r="D417" s="193"/>
      <c r="E417" s="193"/>
      <c r="F417" s="193"/>
      <c r="G417" s="193"/>
      <c r="H417" s="193"/>
    </row>
    <row r="418" spans="1:8" ht="15" customHeight="1">
      <c r="A418" s="193"/>
      <c r="B418" s="193"/>
      <c r="C418" s="193"/>
      <c r="D418" s="193"/>
      <c r="E418" s="193"/>
      <c r="F418" s="193"/>
      <c r="G418" s="193"/>
      <c r="H418" s="193"/>
    </row>
    <row r="419" spans="1:8">
      <c r="A419" s="193"/>
      <c r="B419" s="193"/>
      <c r="C419" s="193"/>
      <c r="D419" s="193"/>
      <c r="E419" s="193"/>
      <c r="F419" s="193"/>
      <c r="G419" s="193"/>
      <c r="H419" s="193"/>
    </row>
    <row r="420" spans="1:8">
      <c r="A420" s="193"/>
      <c r="B420" s="193"/>
      <c r="C420" s="193"/>
      <c r="D420" s="193"/>
      <c r="E420" s="193"/>
      <c r="F420" s="193"/>
      <c r="G420" s="193"/>
      <c r="H420" s="193"/>
    </row>
    <row r="421" spans="1:8">
      <c r="A421" s="193"/>
      <c r="B421" s="193"/>
      <c r="C421" s="193"/>
      <c r="D421" s="193"/>
      <c r="E421" s="193"/>
      <c r="F421" s="193"/>
      <c r="G421" s="193"/>
      <c r="H421" s="193"/>
    </row>
    <row r="422" spans="1:8">
      <c r="A422" s="193"/>
      <c r="B422" s="193"/>
      <c r="C422" s="193"/>
      <c r="D422" s="193"/>
      <c r="E422" s="193"/>
      <c r="F422" s="193"/>
      <c r="G422" s="193"/>
      <c r="H422" s="193"/>
    </row>
  </sheetData>
  <mergeCells count="274">
    <mergeCell ref="E47:E48"/>
    <mergeCell ref="E49:E54"/>
    <mergeCell ref="E55:E58"/>
    <mergeCell ref="E59:E61"/>
    <mergeCell ref="E62:E64"/>
    <mergeCell ref="B68:D68"/>
    <mergeCell ref="B69:D69"/>
    <mergeCell ref="B66:D66"/>
    <mergeCell ref="A407:D407"/>
    <mergeCell ref="A409:D409"/>
    <mergeCell ref="A410:D410"/>
    <mergeCell ref="A411:D411"/>
    <mergeCell ref="B400:D400"/>
    <mergeCell ref="B401:D401"/>
    <mergeCell ref="B402:D402"/>
    <mergeCell ref="B403:F403"/>
    <mergeCell ref="A404:H404"/>
    <mergeCell ref="A406:D406"/>
    <mergeCell ref="A387:F387"/>
    <mergeCell ref="A389:H389"/>
    <mergeCell ref="A391:C391"/>
    <mergeCell ref="A392:C392"/>
    <mergeCell ref="A393:C393"/>
    <mergeCell ref="A394:C394"/>
    <mergeCell ref="A395:C395"/>
    <mergeCell ref="A397:H397"/>
    <mergeCell ref="B399:D399"/>
    <mergeCell ref="A362:E362"/>
    <mergeCell ref="A363:E363"/>
    <mergeCell ref="A364:E364"/>
    <mergeCell ref="F366:G366"/>
    <mergeCell ref="A369:H369"/>
    <mergeCell ref="A381:E381"/>
    <mergeCell ref="F383:G383"/>
    <mergeCell ref="A385:F385"/>
    <mergeCell ref="A386:F386"/>
    <mergeCell ref="A351:E351"/>
    <mergeCell ref="A352:E352"/>
    <mergeCell ref="A353:E353"/>
    <mergeCell ref="A354:E354"/>
    <mergeCell ref="A355:E355"/>
    <mergeCell ref="A356:E356"/>
    <mergeCell ref="F358:G358"/>
    <mergeCell ref="A360:E360"/>
    <mergeCell ref="A361:E361"/>
    <mergeCell ref="A336:E336"/>
    <mergeCell ref="A339:E339"/>
    <mergeCell ref="A340:E340"/>
    <mergeCell ref="A341:E341"/>
    <mergeCell ref="A342:E342"/>
    <mergeCell ref="A345:E345"/>
    <mergeCell ref="A346:E346"/>
    <mergeCell ref="A347:E347"/>
    <mergeCell ref="F349:G349"/>
    <mergeCell ref="F319:G319"/>
    <mergeCell ref="A324:D324"/>
    <mergeCell ref="A325:D325"/>
    <mergeCell ref="A327:E327"/>
    <mergeCell ref="F329:G329"/>
    <mergeCell ref="A332:E332"/>
    <mergeCell ref="A333:E333"/>
    <mergeCell ref="A334:E334"/>
    <mergeCell ref="A335:E335"/>
    <mergeCell ref="F305:G305"/>
    <mergeCell ref="A308:D308"/>
    <mergeCell ref="A309:D309"/>
    <mergeCell ref="A310:D310"/>
    <mergeCell ref="A311:D311"/>
    <mergeCell ref="F313:G313"/>
    <mergeCell ref="A315:E315"/>
    <mergeCell ref="A316:E316"/>
    <mergeCell ref="A317:E317"/>
    <mergeCell ref="A292:E292"/>
    <mergeCell ref="A293:E293"/>
    <mergeCell ref="A294:E294"/>
    <mergeCell ref="A295:E295"/>
    <mergeCell ref="A297:E297"/>
    <mergeCell ref="A298:E298"/>
    <mergeCell ref="A299:E299"/>
    <mergeCell ref="A300:E300"/>
    <mergeCell ref="A303:H303"/>
    <mergeCell ref="A279:F279"/>
    <mergeCell ref="A280:F280"/>
    <mergeCell ref="A283:H283"/>
    <mergeCell ref="A286:E286"/>
    <mergeCell ref="A287:E287"/>
    <mergeCell ref="A288:E288"/>
    <mergeCell ref="A289:E289"/>
    <mergeCell ref="A290:E290"/>
    <mergeCell ref="A291:E291"/>
    <mergeCell ref="A252:H252"/>
    <mergeCell ref="F254:G254"/>
    <mergeCell ref="A258:H258"/>
    <mergeCell ref="A269:H269"/>
    <mergeCell ref="A272:E272"/>
    <mergeCell ref="A273:E273"/>
    <mergeCell ref="G275:H275"/>
    <mergeCell ref="A277:F277"/>
    <mergeCell ref="A278:F278"/>
    <mergeCell ref="A241:F241"/>
    <mergeCell ref="A242:F242"/>
    <mergeCell ref="A243:F243"/>
    <mergeCell ref="A244:F244"/>
    <mergeCell ref="A246:F246"/>
    <mergeCell ref="A247:F247"/>
    <mergeCell ref="A248:F248"/>
    <mergeCell ref="A249:F249"/>
    <mergeCell ref="A250:F250"/>
    <mergeCell ref="A229:E229"/>
    <mergeCell ref="A230:E230"/>
    <mergeCell ref="A231:E231"/>
    <mergeCell ref="A232:E232"/>
    <mergeCell ref="A233:E233"/>
    <mergeCell ref="F235:G235"/>
    <mergeCell ref="A236:H236"/>
    <mergeCell ref="A239:F239"/>
    <mergeCell ref="A240:F240"/>
    <mergeCell ref="A215:E215"/>
    <mergeCell ref="A216:E216"/>
    <mergeCell ref="F218:G218"/>
    <mergeCell ref="A220:E220"/>
    <mergeCell ref="A221:E221"/>
    <mergeCell ref="A222:E222"/>
    <mergeCell ref="F224:G224"/>
    <mergeCell ref="A227:E227"/>
    <mergeCell ref="A228:E228"/>
    <mergeCell ref="A204:E204"/>
    <mergeCell ref="A205:E205"/>
    <mergeCell ref="A206:E206"/>
    <mergeCell ref="A207:E207"/>
    <mergeCell ref="A208:E208"/>
    <mergeCell ref="A209:E209"/>
    <mergeCell ref="A212:E212"/>
    <mergeCell ref="A213:E213"/>
    <mergeCell ref="A214:E214"/>
    <mergeCell ref="A193:E193"/>
    <mergeCell ref="A194:E194"/>
    <mergeCell ref="A195:E195"/>
    <mergeCell ref="A196:E196"/>
    <mergeCell ref="A197:E197"/>
    <mergeCell ref="A198:E198"/>
    <mergeCell ref="A199:E199"/>
    <mergeCell ref="A200:E200"/>
    <mergeCell ref="A203:E203"/>
    <mergeCell ref="A179:E179"/>
    <mergeCell ref="A180:E180"/>
    <mergeCell ref="F182:G182"/>
    <mergeCell ref="A185:E185"/>
    <mergeCell ref="A186:E186"/>
    <mergeCell ref="A187:E187"/>
    <mergeCell ref="A188:E188"/>
    <mergeCell ref="A189:E189"/>
    <mergeCell ref="A190:E190"/>
    <mergeCell ref="A168:G168"/>
    <mergeCell ref="A169:C169"/>
    <mergeCell ref="F169:H169"/>
    <mergeCell ref="F170:H170"/>
    <mergeCell ref="A171:C171"/>
    <mergeCell ref="A172:C172"/>
    <mergeCell ref="A174:C174"/>
    <mergeCell ref="A176:G176"/>
    <mergeCell ref="A177:D177"/>
    <mergeCell ref="A156:D156"/>
    <mergeCell ref="A157:D157"/>
    <mergeCell ref="A158:D158"/>
    <mergeCell ref="F160:G160"/>
    <mergeCell ref="A162:E162"/>
    <mergeCell ref="A163:E163"/>
    <mergeCell ref="A164:E164"/>
    <mergeCell ref="A165:E165"/>
    <mergeCell ref="F167:G167"/>
    <mergeCell ref="A140:E140"/>
    <mergeCell ref="A141:E141"/>
    <mergeCell ref="A145:E145"/>
    <mergeCell ref="A146:E146"/>
    <mergeCell ref="A147:E147"/>
    <mergeCell ref="A148:E148"/>
    <mergeCell ref="F151:G151"/>
    <mergeCell ref="A154:D154"/>
    <mergeCell ref="A155:D155"/>
    <mergeCell ref="A128:D128"/>
    <mergeCell ref="A129:D129"/>
    <mergeCell ref="A130:D130"/>
    <mergeCell ref="A131:D131"/>
    <mergeCell ref="A133:H133"/>
    <mergeCell ref="A136:E136"/>
    <mergeCell ref="A137:E137"/>
    <mergeCell ref="A138:E138"/>
    <mergeCell ref="A139:E139"/>
    <mergeCell ref="A120:D121"/>
    <mergeCell ref="E120:F120"/>
    <mergeCell ref="H120:H121"/>
    <mergeCell ref="A122:D122"/>
    <mergeCell ref="A123:D123"/>
    <mergeCell ref="A124:D124"/>
    <mergeCell ref="A125:D125"/>
    <mergeCell ref="A126:D126"/>
    <mergeCell ref="A127:D127"/>
    <mergeCell ref="A106:B106"/>
    <mergeCell ref="A108:B108"/>
    <mergeCell ref="A109:B109"/>
    <mergeCell ref="A110:B110"/>
    <mergeCell ref="A111:B111"/>
    <mergeCell ref="A112:E112"/>
    <mergeCell ref="A114:H114"/>
    <mergeCell ref="A116:H116"/>
    <mergeCell ref="A118:H118"/>
    <mergeCell ref="A95:B95"/>
    <mergeCell ref="A96:B96"/>
    <mergeCell ref="A98:H98"/>
    <mergeCell ref="A99:H99"/>
    <mergeCell ref="A100:H100"/>
    <mergeCell ref="A101:H101"/>
    <mergeCell ref="A103:B103"/>
    <mergeCell ref="A104:B104"/>
    <mergeCell ref="A105:B105"/>
    <mergeCell ref="A79:D79"/>
    <mergeCell ref="A80:D80"/>
    <mergeCell ref="A81:D81"/>
    <mergeCell ref="A82:D82"/>
    <mergeCell ref="A83:D83"/>
    <mergeCell ref="A85:H85"/>
    <mergeCell ref="A88:H88"/>
    <mergeCell ref="A91:H91"/>
    <mergeCell ref="A94:B94"/>
    <mergeCell ref="A62:A64"/>
    <mergeCell ref="B62:D62"/>
    <mergeCell ref="B63:D63"/>
    <mergeCell ref="B64:D64"/>
    <mergeCell ref="A65:D65"/>
    <mergeCell ref="A67:D67"/>
    <mergeCell ref="A76:D76"/>
    <mergeCell ref="A77:D77"/>
    <mergeCell ref="A78:D78"/>
    <mergeCell ref="B72:D72"/>
    <mergeCell ref="B73:D73"/>
    <mergeCell ref="A55:A58"/>
    <mergeCell ref="B55:D55"/>
    <mergeCell ref="B56:D56"/>
    <mergeCell ref="B57:D57"/>
    <mergeCell ref="B58:D58"/>
    <mergeCell ref="A59:A61"/>
    <mergeCell ref="B59:D59"/>
    <mergeCell ref="B60:D60"/>
    <mergeCell ref="B61:D61"/>
    <mergeCell ref="B46:D46"/>
    <mergeCell ref="A47:A48"/>
    <mergeCell ref="B47:D47"/>
    <mergeCell ref="B48:D48"/>
    <mergeCell ref="A49:A54"/>
    <mergeCell ref="B49:D49"/>
    <mergeCell ref="B50:D50"/>
    <mergeCell ref="B51:D51"/>
    <mergeCell ref="B52:D52"/>
    <mergeCell ref="B53:D53"/>
    <mergeCell ref="B54:D54"/>
    <mergeCell ref="A23:H23"/>
    <mergeCell ref="A41:D41"/>
    <mergeCell ref="A9:D9"/>
    <mergeCell ref="A10:C10"/>
    <mergeCell ref="A11:C11"/>
    <mergeCell ref="A12:C12"/>
    <mergeCell ref="A13:D13"/>
    <mergeCell ref="A42:D42"/>
    <mergeCell ref="A44:H44"/>
    <mergeCell ref="A16:C16"/>
    <mergeCell ref="A1:H1"/>
    <mergeCell ref="A2:H2"/>
    <mergeCell ref="A4:H4"/>
    <mergeCell ref="A6:H6"/>
    <mergeCell ref="A8:C8"/>
    <mergeCell ref="A17:C17"/>
    <mergeCell ref="A20:H20"/>
    <mergeCell ref="A22:H22"/>
  </mergeCells>
  <pageMargins left="0.51181102362204722" right="0.51181102362204722" top="0.78740157480314965" bottom="0.59055118110236227" header="0.51181102362204722" footer="0.51181102362204722"/>
  <pageSetup paperSize="9" scale="85" firstPageNumber="0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L141"/>
  <sheetViews>
    <sheetView topLeftCell="A49" zoomScale="120" zoomScaleNormal="120" workbookViewId="0">
      <selection activeCell="F105" sqref="F105"/>
    </sheetView>
  </sheetViews>
  <sheetFormatPr defaultColWidth="8.7109375" defaultRowHeight="15"/>
  <cols>
    <col min="2" max="2" width="32.7109375" customWidth="1"/>
    <col min="3" max="4" width="10.7109375" customWidth="1"/>
    <col min="5" max="6" width="13.7109375" customWidth="1"/>
    <col min="7" max="7" width="11.7109375" customWidth="1"/>
    <col min="9" max="9" width="14.85546875" bestFit="1" customWidth="1"/>
  </cols>
  <sheetData>
    <row r="1" spans="1:6" s="551" customFormat="1" ht="20.100000000000001" customHeight="1">
      <c r="A1" s="798" t="s">
        <v>13</v>
      </c>
      <c r="B1" s="798"/>
      <c r="C1" s="798"/>
      <c r="D1" s="798"/>
      <c r="E1" s="798"/>
      <c r="F1" s="798"/>
    </row>
    <row r="2" spans="1:6" s="551" customFormat="1" ht="20.100000000000001" customHeight="1">
      <c r="A2" s="799" t="s">
        <v>613</v>
      </c>
      <c r="B2" s="799"/>
      <c r="C2" s="799"/>
      <c r="D2" s="799"/>
      <c r="E2" s="799"/>
      <c r="F2" s="799"/>
    </row>
    <row r="3" spans="1:6" ht="36" customHeight="1">
      <c r="A3" s="800" t="s">
        <v>764</v>
      </c>
      <c r="B3" s="800"/>
      <c r="C3" s="800"/>
      <c r="D3" s="800"/>
      <c r="E3" s="800"/>
      <c r="F3" s="800"/>
    </row>
    <row r="4" spans="1:6" ht="15" customHeight="1">
      <c r="A4" s="800"/>
      <c r="B4" s="800"/>
      <c r="C4" s="800"/>
      <c r="D4" s="800"/>
      <c r="E4" s="800"/>
      <c r="F4" s="800"/>
    </row>
    <row r="5" spans="1:6" ht="15" customHeight="1">
      <c r="A5" s="236">
        <v>1</v>
      </c>
      <c r="B5" s="801" t="s">
        <v>614</v>
      </c>
      <c r="C5" s="801"/>
      <c r="D5" s="801"/>
      <c r="E5" s="801"/>
      <c r="F5" s="801"/>
    </row>
    <row r="6" spans="1:6" ht="15" customHeight="1">
      <c r="A6" s="45" t="s">
        <v>23</v>
      </c>
      <c r="B6" s="45" t="s">
        <v>448</v>
      </c>
      <c r="C6" s="25" t="s">
        <v>561</v>
      </c>
      <c r="D6" s="25" t="s">
        <v>431</v>
      </c>
      <c r="E6" s="25" t="s">
        <v>432</v>
      </c>
      <c r="F6" s="25" t="s">
        <v>433</v>
      </c>
    </row>
    <row r="7" spans="1:6" ht="15" customHeight="1">
      <c r="A7" s="552" t="s">
        <v>27</v>
      </c>
      <c r="B7" s="785" t="s">
        <v>456</v>
      </c>
      <c r="C7" s="785"/>
      <c r="D7" s="785"/>
      <c r="E7" s="785"/>
      <c r="F7" s="785"/>
    </row>
    <row r="8" spans="1:6" ht="15" customHeight="1">
      <c r="A8" s="27" t="s">
        <v>615</v>
      </c>
      <c r="B8" s="146" t="s">
        <v>437</v>
      </c>
      <c r="C8" s="27" t="s">
        <v>616</v>
      </c>
      <c r="D8" s="536">
        <f>'Coleta convencional'!D450</f>
        <v>18</v>
      </c>
      <c r="E8" s="46">
        <f>'Mão de obra'!C83</f>
        <v>4272.5267617805639</v>
      </c>
      <c r="F8" s="46">
        <f>E8*D8</f>
        <v>76905.481712050154</v>
      </c>
    </row>
    <row r="9" spans="1:6" ht="15" customHeight="1">
      <c r="A9" s="27" t="s">
        <v>617</v>
      </c>
      <c r="B9" s="146" t="s">
        <v>439</v>
      </c>
      <c r="C9" s="27" t="s">
        <v>616</v>
      </c>
      <c r="D9" s="536">
        <f>'Coleta convencional'!D451</f>
        <v>9</v>
      </c>
      <c r="E9" s="46">
        <f>'Mão de obra'!C163</f>
        <v>7650.0398713429486</v>
      </c>
      <c r="F9" s="46">
        <f>E9*D9</f>
        <v>68850.358842086542</v>
      </c>
    </row>
    <row r="10" spans="1:6" ht="15" customHeight="1">
      <c r="A10" s="27" t="s">
        <v>618</v>
      </c>
      <c r="B10" s="146" t="s">
        <v>619</v>
      </c>
      <c r="C10" s="27" t="s">
        <v>616</v>
      </c>
      <c r="D10" s="536">
        <f>'Coleta convencional'!D452</f>
        <v>9</v>
      </c>
      <c r="E10" s="46">
        <f>'Coleta convencional'!E452</f>
        <v>6709.0849671677661</v>
      </c>
      <c r="F10" s="46">
        <f>E10*D10</f>
        <v>60381.764704509893</v>
      </c>
    </row>
    <row r="11" spans="1:6" ht="15" customHeight="1">
      <c r="A11" s="27" t="s">
        <v>620</v>
      </c>
      <c r="B11" s="203" t="s">
        <v>132</v>
      </c>
      <c r="C11" s="27" t="s">
        <v>616</v>
      </c>
      <c r="D11" s="536">
        <f>'Coleta convencional'!D453</f>
        <v>2</v>
      </c>
      <c r="E11" s="46">
        <f>'Coleta convencional'!E453</f>
        <v>7650.0398713429486</v>
      </c>
      <c r="F11" s="46">
        <f>E11*D11</f>
        <v>15300.079742685897</v>
      </c>
    </row>
    <row r="12" spans="1:6" ht="15" customHeight="1">
      <c r="A12" s="27" t="s">
        <v>621</v>
      </c>
      <c r="B12" s="203" t="s">
        <v>622</v>
      </c>
      <c r="C12" s="27" t="s">
        <v>616</v>
      </c>
      <c r="D12" s="536">
        <f>'Coleta convencional'!D455</f>
        <v>1</v>
      </c>
      <c r="E12" s="46">
        <f>'Coleta convencional'!E455</f>
        <v>3020.0024650382447</v>
      </c>
      <c r="F12" s="46">
        <f>E12*D12</f>
        <v>3020.0024650382447</v>
      </c>
    </row>
    <row r="13" spans="1:6" ht="15" customHeight="1">
      <c r="A13" s="27"/>
      <c r="B13" s="759" t="s">
        <v>623</v>
      </c>
      <c r="C13" s="759"/>
      <c r="D13" s="759"/>
      <c r="E13" s="759"/>
      <c r="F13" s="43">
        <f>SUM(F8:F12)</f>
        <v>224457.68746637073</v>
      </c>
    </row>
    <row r="14" spans="1:6" ht="15" customHeight="1">
      <c r="A14" s="552" t="s">
        <v>29</v>
      </c>
      <c r="B14" s="785" t="s">
        <v>624</v>
      </c>
      <c r="C14" s="785"/>
      <c r="D14" s="785"/>
      <c r="E14" s="785"/>
      <c r="F14" s="785"/>
    </row>
    <row r="15" spans="1:6" ht="15" customHeight="1">
      <c r="A15" s="45" t="s">
        <v>625</v>
      </c>
      <c r="B15" s="785" t="s">
        <v>626</v>
      </c>
      <c r="C15" s="785"/>
      <c r="D15" s="785"/>
      <c r="E15" s="785"/>
      <c r="F15" s="785"/>
    </row>
    <row r="16" spans="1:6" ht="15" customHeight="1">
      <c r="A16" s="27" t="s">
        <v>627</v>
      </c>
      <c r="B16" s="203" t="s">
        <v>628</v>
      </c>
      <c r="C16" s="27" t="s">
        <v>629</v>
      </c>
      <c r="D16" s="46">
        <f>'Coleta convencional'!D191</f>
        <v>5905.8719999999994</v>
      </c>
      <c r="E16" s="553">
        <f>'Coleta convencional'!D189</f>
        <v>3.6480000000000001</v>
      </c>
      <c r="F16" s="46">
        <f t="shared" ref="F16:F24" si="0">D16*E16</f>
        <v>21544.621056</v>
      </c>
    </row>
    <row r="17" spans="1:7" ht="15" customHeight="1">
      <c r="A17" s="27" t="s">
        <v>630</v>
      </c>
      <c r="B17" s="203" t="s">
        <v>631</v>
      </c>
      <c r="C17" s="27" t="s">
        <v>632</v>
      </c>
      <c r="D17" s="27">
        <v>4</v>
      </c>
      <c r="E17" s="46">
        <f>'Coleta convencional'!D154</f>
        <v>3112.8850000000002</v>
      </c>
      <c r="F17" s="46">
        <f t="shared" si="0"/>
        <v>12451.54</v>
      </c>
    </row>
    <row r="18" spans="1:7" ht="15" customHeight="1">
      <c r="A18" s="27" t="s">
        <v>633</v>
      </c>
      <c r="B18" s="146" t="s">
        <v>634</v>
      </c>
      <c r="C18" s="27" t="s">
        <v>632</v>
      </c>
      <c r="D18" s="27">
        <v>4</v>
      </c>
      <c r="E18" s="46">
        <f>'Coleta convencional'!D155</f>
        <v>681.33319476923077</v>
      </c>
      <c r="F18" s="46">
        <f t="shared" si="0"/>
        <v>2725.3327790769231</v>
      </c>
    </row>
    <row r="19" spans="1:7" ht="15" customHeight="1">
      <c r="A19" s="27" t="s">
        <v>635</v>
      </c>
      <c r="B19" s="203" t="s">
        <v>257</v>
      </c>
      <c r="C19" s="27" t="s">
        <v>632</v>
      </c>
      <c r="D19" s="27">
        <v>4</v>
      </c>
      <c r="E19" s="46">
        <f>'Coleta convencional'!D156</f>
        <v>387.32369682815556</v>
      </c>
      <c r="F19" s="46">
        <f t="shared" si="0"/>
        <v>1549.2947873126222</v>
      </c>
    </row>
    <row r="20" spans="1:7" ht="15" customHeight="1">
      <c r="A20" s="27" t="s">
        <v>636</v>
      </c>
      <c r="B20" s="203" t="s">
        <v>258</v>
      </c>
      <c r="C20" s="27" t="s">
        <v>632</v>
      </c>
      <c r="D20" s="27">
        <v>4</v>
      </c>
      <c r="E20" s="46">
        <f>'Coleta convencional'!D157</f>
        <v>545.24</v>
      </c>
      <c r="F20" s="46">
        <f t="shared" si="0"/>
        <v>2180.96</v>
      </c>
    </row>
    <row r="21" spans="1:7" ht="15" customHeight="1">
      <c r="A21" s="27" t="s">
        <v>637</v>
      </c>
      <c r="B21" s="26" t="s">
        <v>259</v>
      </c>
      <c r="C21" s="27" t="s">
        <v>632</v>
      </c>
      <c r="D21" s="27">
        <v>4</v>
      </c>
      <c r="E21" s="46">
        <f>'Coleta convencional'!D158</f>
        <v>1286.5289583333335</v>
      </c>
      <c r="F21" s="46">
        <f t="shared" si="0"/>
        <v>5146.1158333333342</v>
      </c>
    </row>
    <row r="22" spans="1:7" ht="15" customHeight="1">
      <c r="A22" s="27" t="s">
        <v>638</v>
      </c>
      <c r="B22" s="26" t="s">
        <v>639</v>
      </c>
      <c r="C22" s="27" t="s">
        <v>632</v>
      </c>
      <c r="D22" s="27">
        <v>4</v>
      </c>
      <c r="E22" s="46">
        <f>'Coleta convencional'!D159</f>
        <v>6813.27</v>
      </c>
      <c r="F22" s="46">
        <f t="shared" si="0"/>
        <v>27253.08</v>
      </c>
    </row>
    <row r="23" spans="1:7" ht="15" customHeight="1">
      <c r="A23" s="27" t="s">
        <v>638</v>
      </c>
      <c r="B23" s="26" t="s">
        <v>261</v>
      </c>
      <c r="C23" s="27" t="s">
        <v>632</v>
      </c>
      <c r="D23" s="27">
        <v>4</v>
      </c>
      <c r="E23" s="46">
        <f>'Coleta convencional'!D160</f>
        <v>373.60852002001991</v>
      </c>
      <c r="F23" s="46">
        <f t="shared" si="0"/>
        <v>1494.4340800800796</v>
      </c>
    </row>
    <row r="24" spans="1:7" ht="15" customHeight="1">
      <c r="A24" s="27" t="s">
        <v>640</v>
      </c>
      <c r="B24" s="26" t="s">
        <v>377</v>
      </c>
      <c r="C24" s="27" t="s">
        <v>632</v>
      </c>
      <c r="D24" s="27">
        <v>4</v>
      </c>
      <c r="E24" s="46">
        <f>'Coleta convencional'!D161</f>
        <v>75</v>
      </c>
      <c r="F24" s="46">
        <f t="shared" si="0"/>
        <v>300</v>
      </c>
    </row>
    <row r="25" spans="1:7" ht="15" customHeight="1">
      <c r="A25" s="27"/>
      <c r="B25" s="759" t="s">
        <v>423</v>
      </c>
      <c r="C25" s="759"/>
      <c r="D25" s="759"/>
      <c r="E25" s="759"/>
      <c r="F25" s="548">
        <f>SUM(F16:F24)</f>
        <v>74645.378535802971</v>
      </c>
    </row>
    <row r="26" spans="1:7" ht="15" customHeight="1">
      <c r="A26" s="279"/>
      <c r="B26" s="279"/>
      <c r="C26" s="279"/>
      <c r="D26" s="279"/>
      <c r="E26" s="279"/>
      <c r="F26" s="279"/>
    </row>
    <row r="27" spans="1:7" ht="15" customHeight="1">
      <c r="A27" s="45" t="s">
        <v>641</v>
      </c>
      <c r="B27" s="785" t="s">
        <v>642</v>
      </c>
      <c r="C27" s="785"/>
      <c r="D27" s="785"/>
      <c r="E27" s="785"/>
      <c r="F27" s="785"/>
    </row>
    <row r="28" spans="1:7" ht="15" customHeight="1">
      <c r="A28" s="27" t="s">
        <v>643</v>
      </c>
      <c r="B28" s="26" t="s">
        <v>259</v>
      </c>
      <c r="C28" s="27" t="s">
        <v>632</v>
      </c>
      <c r="D28" s="27">
        <v>1</v>
      </c>
      <c r="E28" s="40">
        <f>'Coleta convencional'!F158</f>
        <v>1060.2750000000003</v>
      </c>
      <c r="F28" s="46">
        <f>D28*E28</f>
        <v>1060.2750000000003</v>
      </c>
    </row>
    <row r="29" spans="1:7" ht="15" customHeight="1">
      <c r="A29" s="27" t="s">
        <v>644</v>
      </c>
      <c r="B29" s="26" t="s">
        <v>377</v>
      </c>
      <c r="C29" s="27" t="s">
        <v>632</v>
      </c>
      <c r="D29" s="27">
        <v>1</v>
      </c>
      <c r="E29" s="40">
        <f>'Coleta convencional'!F161</f>
        <v>75</v>
      </c>
      <c r="F29" s="46">
        <f>D29*E29</f>
        <v>75</v>
      </c>
    </row>
    <row r="30" spans="1:7" ht="15" customHeight="1">
      <c r="A30" s="26"/>
      <c r="B30" s="759" t="s">
        <v>423</v>
      </c>
      <c r="C30" s="759"/>
      <c r="D30" s="759"/>
      <c r="E30" s="759"/>
      <c r="F30" s="546">
        <f>SUM(F28:F29)</f>
        <v>1135.2750000000003</v>
      </c>
      <c r="G30" s="554"/>
    </row>
    <row r="31" spans="1:7" ht="15" customHeight="1">
      <c r="A31" s="279"/>
      <c r="B31" s="279"/>
      <c r="C31" s="279"/>
      <c r="D31" s="279"/>
      <c r="E31" s="279"/>
      <c r="F31" s="279"/>
    </row>
    <row r="32" spans="1:7" ht="15" customHeight="1">
      <c r="A32" s="45" t="s">
        <v>645</v>
      </c>
      <c r="B32" s="71" t="s">
        <v>646</v>
      </c>
      <c r="C32" s="802"/>
      <c r="D32" s="802"/>
      <c r="E32" s="802"/>
      <c r="F32" s="802"/>
    </row>
    <row r="33" spans="1:6" ht="15" customHeight="1">
      <c r="A33" s="27" t="s">
        <v>643</v>
      </c>
      <c r="B33" s="203" t="s">
        <v>647</v>
      </c>
      <c r="C33" s="27" t="s">
        <v>629</v>
      </c>
      <c r="D33" s="46">
        <f>'Coleta convencional'!D353</f>
        <v>337.5</v>
      </c>
      <c r="E33" s="553">
        <f>'Coleta convencional'!D351</f>
        <v>4.6829999999999998</v>
      </c>
      <c r="F33" s="46">
        <f t="shared" ref="F33:F40" si="1">E33*D33</f>
        <v>1580.5125</v>
      </c>
    </row>
    <row r="34" spans="1:6" ht="15" customHeight="1">
      <c r="A34" s="27" t="s">
        <v>644</v>
      </c>
      <c r="B34" s="203" t="s">
        <v>631</v>
      </c>
      <c r="C34" s="27" t="s">
        <v>632</v>
      </c>
      <c r="D34" s="27">
        <v>2</v>
      </c>
      <c r="E34" s="46">
        <f>'Coleta convencional'!E330</f>
        <v>410.19</v>
      </c>
      <c r="F34" s="46">
        <f t="shared" si="1"/>
        <v>820.38</v>
      </c>
    </row>
    <row r="35" spans="1:6" ht="15" customHeight="1">
      <c r="A35" s="27" t="s">
        <v>648</v>
      </c>
      <c r="B35" s="146" t="s">
        <v>256</v>
      </c>
      <c r="C35" s="27" t="s">
        <v>632</v>
      </c>
      <c r="D35" s="27">
        <v>2</v>
      </c>
      <c r="E35" s="46">
        <f>'Coleta convencional'!E331</f>
        <v>125.64000000000001</v>
      </c>
      <c r="F35" s="46">
        <f t="shared" si="1"/>
        <v>251.28000000000003</v>
      </c>
    </row>
    <row r="36" spans="1:6" ht="15" customHeight="1">
      <c r="A36" s="27" t="s">
        <v>649</v>
      </c>
      <c r="B36" s="203" t="s">
        <v>376</v>
      </c>
      <c r="C36" s="27" t="s">
        <v>632</v>
      </c>
      <c r="D36" s="27">
        <v>2</v>
      </c>
      <c r="E36" s="46">
        <f>'Coleta convencional'!E332</f>
        <v>523.66999999999996</v>
      </c>
      <c r="F36" s="46">
        <f t="shared" si="1"/>
        <v>1047.3399999999999</v>
      </c>
    </row>
    <row r="37" spans="1:6" ht="15" customHeight="1">
      <c r="A37" s="27" t="s">
        <v>650</v>
      </c>
      <c r="B37" s="26" t="s">
        <v>259</v>
      </c>
      <c r="C37" s="27" t="s">
        <v>632</v>
      </c>
      <c r="D37" s="27">
        <v>2</v>
      </c>
      <c r="E37" s="46">
        <f>'Coleta convencional'!E333</f>
        <v>228.80541666666667</v>
      </c>
      <c r="F37" s="46">
        <f t="shared" si="1"/>
        <v>457.61083333333335</v>
      </c>
    </row>
    <row r="38" spans="1:6" ht="15" customHeight="1">
      <c r="A38" s="27" t="s">
        <v>651</v>
      </c>
      <c r="B38" s="26" t="s">
        <v>639</v>
      </c>
      <c r="C38" s="27" t="s">
        <v>632</v>
      </c>
      <c r="D38" s="27">
        <v>2</v>
      </c>
      <c r="E38" s="46">
        <f>'Coleta convencional'!E334</f>
        <v>683.65000000000009</v>
      </c>
      <c r="F38" s="46">
        <f t="shared" si="1"/>
        <v>1367.3000000000002</v>
      </c>
    </row>
    <row r="39" spans="1:6" ht="15" customHeight="1">
      <c r="A39" s="27" t="s">
        <v>652</v>
      </c>
      <c r="B39" s="26" t="s">
        <v>590</v>
      </c>
      <c r="C39" s="27" t="s">
        <v>632</v>
      </c>
      <c r="D39" s="27">
        <v>2</v>
      </c>
      <c r="E39" s="46">
        <f>'Coleta convencional'!E335</f>
        <v>54.692000000000007</v>
      </c>
      <c r="F39" s="46">
        <f t="shared" si="1"/>
        <v>109.38400000000001</v>
      </c>
    </row>
    <row r="40" spans="1:6" ht="15" customHeight="1">
      <c r="A40" s="27" t="s">
        <v>653</v>
      </c>
      <c r="B40" s="26" t="s">
        <v>377</v>
      </c>
      <c r="C40" s="27" t="s">
        <v>632</v>
      </c>
      <c r="D40" s="27">
        <v>2</v>
      </c>
      <c r="E40" s="46">
        <f>'Coleta convencional'!E336</f>
        <v>75</v>
      </c>
      <c r="F40" s="46">
        <f t="shared" si="1"/>
        <v>150</v>
      </c>
    </row>
    <row r="41" spans="1:6" ht="15" customHeight="1">
      <c r="A41" s="26"/>
      <c r="B41" s="759" t="s">
        <v>423</v>
      </c>
      <c r="C41" s="759"/>
      <c r="D41" s="759"/>
      <c r="E41" s="759"/>
      <c r="F41" s="546">
        <f>SUM(F33:F40)</f>
        <v>5783.8073333333332</v>
      </c>
    </row>
    <row r="42" spans="1:6" ht="15" customHeight="1">
      <c r="A42" s="45" t="s">
        <v>31</v>
      </c>
      <c r="B42" s="785" t="s">
        <v>454</v>
      </c>
      <c r="C42" s="785"/>
      <c r="D42" s="785"/>
      <c r="E42" s="785"/>
      <c r="F42" s="785"/>
    </row>
    <row r="43" spans="1:6" ht="36" customHeight="1">
      <c r="A43" s="27" t="s">
        <v>654</v>
      </c>
      <c r="B43" s="387" t="s">
        <v>655</v>
      </c>
      <c r="C43" s="429" t="s">
        <v>656</v>
      </c>
      <c r="D43" s="429">
        <v>1</v>
      </c>
      <c r="E43" s="555">
        <f>'Coleta convencional'!E442</f>
        <v>5000</v>
      </c>
      <c r="F43" s="546">
        <f>D43*E43</f>
        <v>5000</v>
      </c>
    </row>
    <row r="44" spans="1:6" ht="15" customHeight="1">
      <c r="A44" s="26"/>
      <c r="B44" s="803" t="s">
        <v>657</v>
      </c>
      <c r="C44" s="803"/>
      <c r="D44" s="803"/>
      <c r="E44" s="803"/>
      <c r="F44" s="546">
        <f>(F25+F30+F41+F43)*(1+BDI!$B$12)</f>
        <v>108533.92404144123</v>
      </c>
    </row>
    <row r="45" spans="1:6" ht="15" customHeight="1">
      <c r="A45" s="556"/>
      <c r="B45" s="804" t="s">
        <v>658</v>
      </c>
      <c r="C45" s="804"/>
      <c r="D45" s="804"/>
      <c r="E45" s="804"/>
      <c r="F45" s="549">
        <f>F44+F13</f>
        <v>332991.61150781193</v>
      </c>
    </row>
    <row r="46" spans="1:6" ht="13.9" customHeight="1">
      <c r="A46" s="556"/>
      <c r="B46" s="804" t="s">
        <v>659</v>
      </c>
      <c r="C46" s="804"/>
      <c r="D46" s="804"/>
      <c r="E46" s="804"/>
      <c r="F46" s="549">
        <f>F45/'Coleta convencional'!C53</f>
        <v>220.26864869862268</v>
      </c>
    </row>
    <row r="47" spans="1:6">
      <c r="A47" s="130"/>
      <c r="B47" s="557"/>
      <c r="C47" s="557"/>
      <c r="D47" s="557"/>
      <c r="E47" s="557"/>
      <c r="F47" s="396"/>
    </row>
    <row r="48" spans="1:6" ht="15" customHeight="1">
      <c r="A48" s="236">
        <v>2</v>
      </c>
      <c r="B48" s="805" t="s">
        <v>660</v>
      </c>
      <c r="C48" s="805"/>
      <c r="D48" s="805"/>
      <c r="E48" s="805"/>
      <c r="F48" s="805"/>
    </row>
    <row r="49" spans="1:9">
      <c r="A49" s="525" t="s">
        <v>23</v>
      </c>
      <c r="B49" s="558" t="s">
        <v>448</v>
      </c>
      <c r="C49" s="559" t="s">
        <v>561</v>
      </c>
      <c r="D49" s="559" t="s">
        <v>431</v>
      </c>
      <c r="E49" s="559" t="s">
        <v>432</v>
      </c>
      <c r="F49" s="394" t="s">
        <v>433</v>
      </c>
    </row>
    <row r="50" spans="1:9" ht="13.9" customHeight="1">
      <c r="A50" s="525" t="s">
        <v>49</v>
      </c>
      <c r="B50" s="806" t="s">
        <v>661</v>
      </c>
      <c r="C50" s="806"/>
      <c r="D50" s="806"/>
      <c r="E50" s="806"/>
      <c r="F50" s="806"/>
    </row>
    <row r="51" spans="1:9">
      <c r="A51" s="432" t="s">
        <v>662</v>
      </c>
      <c r="B51" s="560" t="s">
        <v>663</v>
      </c>
      <c r="C51" s="561" t="s">
        <v>616</v>
      </c>
      <c r="D51" s="70">
        <f>'Coleta convencional'!C563</f>
        <v>9</v>
      </c>
      <c r="E51" s="561">
        <f>'Coleta convencional'!D563</f>
        <v>940.95490417518261</v>
      </c>
      <c r="F51" s="392">
        <f>E51*D51</f>
        <v>8468.5941375766433</v>
      </c>
    </row>
    <row r="52" spans="1:9" s="336" customFormat="1" ht="15" customHeight="1">
      <c r="A52" s="525"/>
      <c r="B52" s="807" t="s">
        <v>712</v>
      </c>
      <c r="C52" s="807"/>
      <c r="D52" s="807"/>
      <c r="E52" s="807"/>
      <c r="F52" s="394">
        <f>F51</f>
        <v>8468.5941375766433</v>
      </c>
      <c r="I52" s="562"/>
    </row>
    <row r="53" spans="1:9">
      <c r="A53" s="432" t="s">
        <v>664</v>
      </c>
      <c r="B53" s="785" t="s">
        <v>626</v>
      </c>
      <c r="C53" s="785"/>
      <c r="D53" s="785"/>
      <c r="E53" s="785"/>
      <c r="F53" s="785"/>
    </row>
    <row r="54" spans="1:9">
      <c r="A54" s="432" t="s">
        <v>665</v>
      </c>
      <c r="B54" s="560" t="s">
        <v>628</v>
      </c>
      <c r="C54" s="561" t="s">
        <v>666</v>
      </c>
      <c r="D54" s="561">
        <f>'Coleta convencional'!D483</f>
        <v>1914.5186666666668</v>
      </c>
      <c r="E54" s="596">
        <f>'Coleta convencional'!D481</f>
        <v>3.6480000000000001</v>
      </c>
      <c r="F54" s="392">
        <f>D54*E54</f>
        <v>6984.1640960000004</v>
      </c>
    </row>
    <row r="55" spans="1:9">
      <c r="A55" s="432" t="s">
        <v>667</v>
      </c>
      <c r="B55" s="560" t="s">
        <v>256</v>
      </c>
      <c r="C55" s="561" t="s">
        <v>632</v>
      </c>
      <c r="D55" s="563">
        <f>'Coleta convencional'!D471</f>
        <v>4</v>
      </c>
      <c r="E55" s="561">
        <f>'Coleta convencional'!F542</f>
        <v>331.30377350000003</v>
      </c>
      <c r="F55" s="392">
        <f>D55*E55</f>
        <v>1325.2150940000001</v>
      </c>
    </row>
    <row r="56" spans="1:9">
      <c r="A56" s="432" t="s">
        <v>668</v>
      </c>
      <c r="B56" s="560" t="s">
        <v>257</v>
      </c>
      <c r="C56" s="561" t="s">
        <v>632</v>
      </c>
      <c r="D56" s="563">
        <f>'Coleta convencional'!D471</f>
        <v>4</v>
      </c>
      <c r="E56" s="561">
        <f>'Coleta convencional'!F543</f>
        <v>123.58260272287222</v>
      </c>
      <c r="F56" s="392">
        <f>D56*E56</f>
        <v>494.3304108914889</v>
      </c>
    </row>
    <row r="57" spans="1:9" ht="15" customHeight="1">
      <c r="A57" s="432"/>
      <c r="B57" s="807" t="s">
        <v>423</v>
      </c>
      <c r="C57" s="807"/>
      <c r="D57" s="807"/>
      <c r="E57" s="807"/>
      <c r="F57" s="394">
        <f>SUM(F54:F56)</f>
        <v>8803.7096008914887</v>
      </c>
    </row>
    <row r="58" spans="1:9" ht="13.9" customHeight="1">
      <c r="A58" s="564"/>
      <c r="B58" s="808" t="s">
        <v>669</v>
      </c>
      <c r="C58" s="808"/>
      <c r="D58" s="808"/>
      <c r="E58" s="808"/>
      <c r="F58" s="565">
        <f>F57*(1+BDI!$B$12)</f>
        <v>11038.030382359122</v>
      </c>
    </row>
    <row r="59" spans="1:9" ht="15" customHeight="1">
      <c r="A59" s="556"/>
      <c r="B59" s="804" t="s">
        <v>670</v>
      </c>
      <c r="C59" s="804"/>
      <c r="D59" s="804"/>
      <c r="E59" s="804"/>
      <c r="F59" s="549">
        <f>F52+F58</f>
        <v>19506.624519935765</v>
      </c>
    </row>
    <row r="60" spans="1:9" ht="15" customHeight="1">
      <c r="A60" s="566"/>
      <c r="B60" s="809" t="s">
        <v>671</v>
      </c>
      <c r="C60" s="809"/>
      <c r="D60" s="809"/>
      <c r="E60" s="809"/>
      <c r="F60" s="567">
        <f>F59/'Coleta convencional'!C53</f>
        <v>12.90332151077887</v>
      </c>
    </row>
    <row r="61" spans="1:9" ht="15" customHeight="1">
      <c r="A61" s="130"/>
      <c r="B61" s="557"/>
      <c r="C61" s="557"/>
      <c r="D61" s="557"/>
      <c r="E61" s="557"/>
      <c r="F61" s="396"/>
    </row>
    <row r="62" spans="1:9" ht="15" customHeight="1">
      <c r="A62" s="810" t="s">
        <v>672</v>
      </c>
      <c r="B62" s="810"/>
      <c r="C62" s="810"/>
      <c r="D62" s="810"/>
      <c r="E62" s="810"/>
      <c r="F62" s="567">
        <f>F46+F60</f>
        <v>233.17197020940156</v>
      </c>
    </row>
    <row r="63" spans="1:9" s="414" customFormat="1" ht="27" customHeight="1">
      <c r="A63" s="811" t="s">
        <v>736</v>
      </c>
      <c r="B63" s="811"/>
      <c r="C63" s="811"/>
      <c r="D63" s="811"/>
      <c r="E63" s="811"/>
      <c r="F63" s="567">
        <f>F62*'Coleta convencional'!C54</f>
        <v>352089.67501619639</v>
      </c>
    </row>
    <row r="64" spans="1:9">
      <c r="A64" s="130"/>
      <c r="B64" s="557"/>
      <c r="C64" s="557"/>
      <c r="D64" s="557"/>
      <c r="E64" s="557"/>
      <c r="F64" s="396"/>
    </row>
    <row r="65" spans="1:6">
      <c r="A65" s="236">
        <v>3</v>
      </c>
      <c r="B65" s="801" t="s">
        <v>744</v>
      </c>
      <c r="C65" s="801"/>
      <c r="D65" s="801"/>
      <c r="E65" s="801"/>
      <c r="F65" s="801"/>
    </row>
    <row r="66" spans="1:6">
      <c r="A66" s="45" t="s">
        <v>23</v>
      </c>
      <c r="B66" s="45" t="s">
        <v>448</v>
      </c>
      <c r="C66" s="25" t="s">
        <v>561</v>
      </c>
      <c r="D66" s="25" t="s">
        <v>431</v>
      </c>
      <c r="E66" s="25" t="s">
        <v>432</v>
      </c>
      <c r="F66" s="25" t="s">
        <v>433</v>
      </c>
    </row>
    <row r="67" spans="1:6">
      <c r="A67" s="552" t="s">
        <v>673</v>
      </c>
      <c r="B67" s="547" t="s">
        <v>456</v>
      </c>
      <c r="C67" s="812"/>
      <c r="D67" s="812"/>
      <c r="E67" s="812"/>
      <c r="F67" s="812"/>
    </row>
    <row r="68" spans="1:6">
      <c r="A68" s="27" t="s">
        <v>674</v>
      </c>
      <c r="B68" s="146" t="s">
        <v>437</v>
      </c>
      <c r="C68" s="27" t="s">
        <v>616</v>
      </c>
      <c r="D68" s="536">
        <f>'Coleta seletiva'!F104</f>
        <v>5</v>
      </c>
      <c r="E68" s="46">
        <f>'Coleta convencional'!E450</f>
        <v>4272.5267617805639</v>
      </c>
      <c r="F68" s="46">
        <f>E68*D68</f>
        <v>21362.633808902821</v>
      </c>
    </row>
    <row r="69" spans="1:6">
      <c r="A69" s="27" t="s">
        <v>675</v>
      </c>
      <c r="B69" s="146" t="s">
        <v>676</v>
      </c>
      <c r="C69" s="27" t="s">
        <v>616</v>
      </c>
      <c r="D69" s="536">
        <f>'Coleta seletiva'!F105</f>
        <v>2</v>
      </c>
      <c r="E69" s="46">
        <f>'Coleta convencional'!E451</f>
        <v>7650.0398713429486</v>
      </c>
      <c r="F69" s="46">
        <f>E69*D69</f>
        <v>15300.079742685897</v>
      </c>
    </row>
    <row r="70" spans="1:6">
      <c r="A70" s="27" t="s">
        <v>677</v>
      </c>
      <c r="B70" s="203" t="s">
        <v>132</v>
      </c>
      <c r="C70" s="27" t="s">
        <v>616</v>
      </c>
      <c r="D70" s="536">
        <f>'Coleta seletiva'!F106</f>
        <v>1</v>
      </c>
      <c r="E70" s="46">
        <f>'Coleta convencional'!E453</f>
        <v>7650.0398713429486</v>
      </c>
      <c r="F70" s="46">
        <f>E70*D70</f>
        <v>7650.0398713429486</v>
      </c>
    </row>
    <row r="71" spans="1:6">
      <c r="A71" s="27"/>
      <c r="B71" s="759" t="s">
        <v>623</v>
      </c>
      <c r="C71" s="759"/>
      <c r="D71" s="759"/>
      <c r="E71" s="759"/>
      <c r="F71" s="546">
        <f>SUM(F68:F70)</f>
        <v>44312.753422931666</v>
      </c>
    </row>
    <row r="72" spans="1:6">
      <c r="A72" s="552" t="s">
        <v>678</v>
      </c>
      <c r="B72" s="785" t="s">
        <v>624</v>
      </c>
      <c r="C72" s="785"/>
      <c r="D72" s="785"/>
      <c r="E72" s="785"/>
      <c r="F72" s="785"/>
    </row>
    <row r="73" spans="1:6">
      <c r="A73" s="27" t="s">
        <v>679</v>
      </c>
      <c r="B73" s="785" t="s">
        <v>680</v>
      </c>
      <c r="C73" s="785"/>
      <c r="D73" s="785"/>
      <c r="E73" s="785"/>
      <c r="F73" s="785"/>
    </row>
    <row r="74" spans="1:6">
      <c r="A74" s="27" t="s">
        <v>681</v>
      </c>
      <c r="B74" s="203" t="s">
        <v>628</v>
      </c>
      <c r="C74" s="27" t="s">
        <v>629</v>
      </c>
      <c r="D74" s="46">
        <f>'Coleta seletiva'!E156</f>
        <v>1472.3337142857142</v>
      </c>
      <c r="E74" s="553">
        <f>'Coleta seletiva'!E154</f>
        <v>3.6480000000000001</v>
      </c>
      <c r="F74" s="46">
        <f t="shared" ref="F74:F82" si="2">D74*E74</f>
        <v>5371.0733897142854</v>
      </c>
    </row>
    <row r="75" spans="1:6">
      <c r="A75" s="27" t="s">
        <v>682</v>
      </c>
      <c r="B75" s="203" t="s">
        <v>631</v>
      </c>
      <c r="C75" s="27" t="s">
        <v>632</v>
      </c>
      <c r="D75" s="27">
        <f>'Coleta seletiva'!$C$95</f>
        <v>2</v>
      </c>
      <c r="E75" s="46">
        <f>'Coleta seletiva'!E123</f>
        <v>1527.8700000000001</v>
      </c>
      <c r="F75" s="46">
        <f t="shared" si="2"/>
        <v>3055.7400000000002</v>
      </c>
    </row>
    <row r="76" spans="1:6">
      <c r="A76" s="27" t="s">
        <v>683</v>
      </c>
      <c r="B76" s="146" t="s">
        <v>634</v>
      </c>
      <c r="C76" s="27" t="s">
        <v>632</v>
      </c>
      <c r="D76" s="27">
        <f>'Coleta seletiva'!$C$95</f>
        <v>2</v>
      </c>
      <c r="E76" s="46">
        <f>'Coleta seletiva'!E124</f>
        <v>280.63294066666663</v>
      </c>
      <c r="F76" s="46">
        <f t="shared" si="2"/>
        <v>561.26588133333325</v>
      </c>
    </row>
    <row r="77" spans="1:6">
      <c r="A77" s="27" t="s">
        <v>684</v>
      </c>
      <c r="B77" s="203" t="s">
        <v>257</v>
      </c>
      <c r="C77" s="27" t="s">
        <v>632</v>
      </c>
      <c r="D77" s="27">
        <f>'Coleta seletiva'!$C$95</f>
        <v>2</v>
      </c>
      <c r="E77" s="46">
        <f>'Coleta seletiva'!E125</f>
        <v>180.62595323617774</v>
      </c>
      <c r="F77" s="46">
        <f t="shared" si="2"/>
        <v>361.25190647235547</v>
      </c>
    </row>
    <row r="78" spans="1:6">
      <c r="A78" s="27" t="s">
        <v>685</v>
      </c>
      <c r="B78" s="203" t="s">
        <v>258</v>
      </c>
      <c r="C78" s="27" t="s">
        <v>632</v>
      </c>
      <c r="D78" s="27">
        <f>'Coleta seletiva'!$C$95</f>
        <v>2</v>
      </c>
      <c r="E78" s="46">
        <f>'Coleta seletiva'!E126</f>
        <v>651</v>
      </c>
      <c r="F78" s="46">
        <f t="shared" si="2"/>
        <v>1302</v>
      </c>
    </row>
    <row r="79" spans="1:6">
      <c r="A79" s="27" t="s">
        <v>686</v>
      </c>
      <c r="B79" s="26" t="s">
        <v>259</v>
      </c>
      <c r="C79" s="27" t="s">
        <v>632</v>
      </c>
      <c r="D79" s="27">
        <f>'Coleta seletiva'!$C$95</f>
        <v>2</v>
      </c>
      <c r="E79" s="46">
        <f>'Coleta seletiva'!E127</f>
        <v>688.18875000000014</v>
      </c>
      <c r="F79" s="46">
        <f t="shared" si="2"/>
        <v>1376.3775000000003</v>
      </c>
    </row>
    <row r="80" spans="1:6">
      <c r="A80" s="27" t="s">
        <v>687</v>
      </c>
      <c r="B80" s="26" t="s">
        <v>639</v>
      </c>
      <c r="C80" s="27" t="s">
        <v>632</v>
      </c>
      <c r="D80" s="27">
        <f>'Coleta seletiva'!$C$95</f>
        <v>2</v>
      </c>
      <c r="E80" s="46">
        <f>'Coleta seletiva'!E128</f>
        <v>5217.9000000000005</v>
      </c>
      <c r="F80" s="46">
        <f t="shared" si="2"/>
        <v>10435.800000000001</v>
      </c>
    </row>
    <row r="81" spans="1:6">
      <c r="A81" s="27" t="s">
        <v>687</v>
      </c>
      <c r="B81" s="26" t="s">
        <v>261</v>
      </c>
      <c r="C81" s="27" t="s">
        <v>632</v>
      </c>
      <c r="D81" s="27">
        <f>'Coleta seletiva'!$C$95</f>
        <v>2</v>
      </c>
      <c r="E81" s="46">
        <f>'Coleta seletiva'!E129</f>
        <v>203.71599999999998</v>
      </c>
      <c r="F81" s="46">
        <f t="shared" si="2"/>
        <v>407.43199999999996</v>
      </c>
    </row>
    <row r="82" spans="1:6">
      <c r="A82" s="27" t="s">
        <v>688</v>
      </c>
      <c r="B82" s="26" t="s">
        <v>377</v>
      </c>
      <c r="C82" s="27" t="s">
        <v>632</v>
      </c>
      <c r="D82" s="27">
        <f>'Coleta seletiva'!$C$95</f>
        <v>2</v>
      </c>
      <c r="E82" s="46">
        <f>'Coleta seletiva'!E130</f>
        <v>75</v>
      </c>
      <c r="F82" s="46">
        <f t="shared" si="2"/>
        <v>150</v>
      </c>
    </row>
    <row r="83" spans="1:6">
      <c r="A83" s="27"/>
      <c r="B83" s="759" t="s">
        <v>423</v>
      </c>
      <c r="C83" s="759"/>
      <c r="D83" s="759"/>
      <c r="E83" s="759"/>
      <c r="F83" s="548">
        <f>SUM(F74:F82)</f>
        <v>23020.940677519975</v>
      </c>
    </row>
    <row r="84" spans="1:6">
      <c r="A84" s="45" t="s">
        <v>689</v>
      </c>
      <c r="B84" s="785" t="s">
        <v>690</v>
      </c>
      <c r="C84" s="785"/>
      <c r="D84" s="785"/>
      <c r="E84" s="785"/>
      <c r="F84" s="785"/>
    </row>
    <row r="85" spans="1:6">
      <c r="A85" s="27" t="s">
        <v>691</v>
      </c>
      <c r="B85" s="26" t="s">
        <v>259</v>
      </c>
      <c r="C85" s="27" t="s">
        <v>632</v>
      </c>
      <c r="D85" s="27">
        <f>'Coleta seletiva'!D95</f>
        <v>1</v>
      </c>
      <c r="E85" s="40">
        <f>'Coleta seletiva'!G127</f>
        <v>578.51874999999995</v>
      </c>
      <c r="F85" s="46">
        <f>D85*E85</f>
        <v>578.51874999999995</v>
      </c>
    </row>
    <row r="86" spans="1:6">
      <c r="A86" s="27" t="s">
        <v>692</v>
      </c>
      <c r="B86" s="26" t="s">
        <v>377</v>
      </c>
      <c r="C86" s="27" t="s">
        <v>632</v>
      </c>
      <c r="D86" s="27">
        <f>'Coleta seletiva'!D95</f>
        <v>1</v>
      </c>
      <c r="E86" s="40">
        <f>'Coleta seletiva'!G130</f>
        <v>75</v>
      </c>
      <c r="F86" s="46">
        <f>D86*E86</f>
        <v>75</v>
      </c>
    </row>
    <row r="87" spans="1:6">
      <c r="A87" s="26"/>
      <c r="B87" s="759" t="s">
        <v>423</v>
      </c>
      <c r="C87" s="759"/>
      <c r="D87" s="759"/>
      <c r="E87" s="759"/>
      <c r="F87" s="546">
        <f>SUM(F85:F86)</f>
        <v>653.51874999999995</v>
      </c>
    </row>
    <row r="88" spans="1:6">
      <c r="A88" s="45" t="s">
        <v>693</v>
      </c>
      <c r="B88" s="71" t="s">
        <v>646</v>
      </c>
      <c r="C88" s="802"/>
      <c r="D88" s="802"/>
      <c r="E88" s="802"/>
      <c r="F88" s="802"/>
    </row>
    <row r="89" spans="1:6">
      <c r="A89" s="27" t="s">
        <v>694</v>
      </c>
      <c r="B89" s="203" t="s">
        <v>647</v>
      </c>
      <c r="C89" s="27" t="s">
        <v>629</v>
      </c>
      <c r="D89" s="46">
        <f>'Coleta seletiva'!E310</f>
        <v>118.8292</v>
      </c>
      <c r="E89" s="553">
        <f>'Coleta seletiva'!E308</f>
        <v>4.6829999999999998</v>
      </c>
      <c r="F89" s="46">
        <f t="shared" ref="F89:F96" si="3">E89*D89</f>
        <v>556.47714359999998</v>
      </c>
    </row>
    <row r="90" spans="1:6">
      <c r="A90" s="27" t="s">
        <v>695</v>
      </c>
      <c r="B90" s="203" t="s">
        <v>631</v>
      </c>
      <c r="C90" s="27" t="s">
        <v>632</v>
      </c>
      <c r="D90" s="27">
        <f>'Coleta seletiva'!$E$96</f>
        <v>1</v>
      </c>
      <c r="E90" s="46">
        <f>'Coleta seletiva'!F288</f>
        <v>410.19</v>
      </c>
      <c r="F90" s="46">
        <f t="shared" si="3"/>
        <v>410.19</v>
      </c>
    </row>
    <row r="91" spans="1:6">
      <c r="A91" s="27" t="s">
        <v>696</v>
      </c>
      <c r="B91" s="146" t="s">
        <v>256</v>
      </c>
      <c r="C91" s="27" t="s">
        <v>632</v>
      </c>
      <c r="D91" s="27">
        <f>'Coleta seletiva'!$E$96</f>
        <v>1</v>
      </c>
      <c r="E91" s="46">
        <f>'Coleta seletiva'!F289</f>
        <v>44.362901333333333</v>
      </c>
      <c r="F91" s="46">
        <f t="shared" si="3"/>
        <v>44.362901333333333</v>
      </c>
    </row>
    <row r="92" spans="1:6">
      <c r="A92" s="27" t="s">
        <v>697</v>
      </c>
      <c r="B92" s="203" t="s">
        <v>376</v>
      </c>
      <c r="C92" s="27" t="s">
        <v>632</v>
      </c>
      <c r="D92" s="27">
        <f>'Coleta seletiva'!$E$96</f>
        <v>1</v>
      </c>
      <c r="E92" s="46">
        <f>'Coleta seletiva'!F290</f>
        <v>236.10773535999999</v>
      </c>
      <c r="F92" s="46">
        <f t="shared" si="3"/>
        <v>236.10773535999999</v>
      </c>
    </row>
    <row r="93" spans="1:6">
      <c r="A93" s="27" t="s">
        <v>698</v>
      </c>
      <c r="B93" s="26" t="s">
        <v>699</v>
      </c>
      <c r="C93" s="27" t="s">
        <v>632</v>
      </c>
      <c r="D93" s="27">
        <f>'Coleta seletiva'!$E$96</f>
        <v>1</v>
      </c>
      <c r="E93" s="46">
        <f>'Coleta seletiva'!F291</f>
        <v>228.80541666666667</v>
      </c>
      <c r="F93" s="46">
        <f t="shared" si="3"/>
        <v>228.80541666666667</v>
      </c>
    </row>
    <row r="94" spans="1:6">
      <c r="A94" s="27" t="s">
        <v>700</v>
      </c>
      <c r="B94" s="26" t="s">
        <v>639</v>
      </c>
      <c r="C94" s="27" t="s">
        <v>632</v>
      </c>
      <c r="D94" s="27">
        <f>'Coleta seletiva'!$E$96</f>
        <v>1</v>
      </c>
      <c r="E94" s="46">
        <f>'Coleta seletiva'!F292</f>
        <v>1367.3000000000002</v>
      </c>
      <c r="F94" s="46">
        <f t="shared" si="3"/>
        <v>1367.3000000000002</v>
      </c>
    </row>
    <row r="95" spans="1:6">
      <c r="A95" s="27" t="s">
        <v>701</v>
      </c>
      <c r="B95" s="26" t="s">
        <v>590</v>
      </c>
      <c r="C95" s="27" t="s">
        <v>632</v>
      </c>
      <c r="D95" s="27">
        <f>'Coleta seletiva'!$E$96</f>
        <v>1</v>
      </c>
      <c r="E95" s="46">
        <f>'Coleta seletiva'!F293</f>
        <v>54.692000000000007</v>
      </c>
      <c r="F95" s="46">
        <f t="shared" si="3"/>
        <v>54.692000000000007</v>
      </c>
    </row>
    <row r="96" spans="1:6">
      <c r="A96" s="27" t="s">
        <v>702</v>
      </c>
      <c r="B96" s="26" t="s">
        <v>377</v>
      </c>
      <c r="C96" s="27" t="s">
        <v>632</v>
      </c>
      <c r="D96" s="27">
        <f>'Coleta seletiva'!$E$96</f>
        <v>1</v>
      </c>
      <c r="E96" s="46">
        <f>'Coleta seletiva'!F294</f>
        <v>75</v>
      </c>
      <c r="F96" s="46">
        <f t="shared" si="3"/>
        <v>75</v>
      </c>
    </row>
    <row r="97" spans="1:6">
      <c r="A97" s="26"/>
      <c r="B97" s="759" t="s">
        <v>423</v>
      </c>
      <c r="C97" s="759"/>
      <c r="D97" s="759"/>
      <c r="E97" s="759"/>
      <c r="F97" s="546">
        <f>SUM(F89:F96)</f>
        <v>2972.9351969600002</v>
      </c>
    </row>
    <row r="98" spans="1:6">
      <c r="A98" s="26"/>
      <c r="B98" s="759" t="s">
        <v>703</v>
      </c>
      <c r="C98" s="759"/>
      <c r="D98" s="759"/>
      <c r="E98" s="759"/>
      <c r="F98" s="546">
        <f>(F83+F87+F97)*(1+BDI!$B$12)</f>
        <v>33410.31960503765</v>
      </c>
    </row>
    <row r="99" spans="1:6" ht="15" customHeight="1">
      <c r="A99" s="566"/>
      <c r="B99" s="809" t="s">
        <v>704</v>
      </c>
      <c r="C99" s="809"/>
      <c r="D99" s="809"/>
      <c r="E99" s="809"/>
      <c r="F99" s="567">
        <f>F71+F98</f>
        <v>77723.073027969309</v>
      </c>
    </row>
    <row r="100" spans="1:6">
      <c r="A100" s="26"/>
      <c r="B100" s="813"/>
      <c r="C100" s="813"/>
      <c r="D100" s="813"/>
      <c r="E100" s="813"/>
      <c r="F100" s="813"/>
    </row>
    <row r="101" spans="1:6">
      <c r="A101" s="236">
        <v>4</v>
      </c>
      <c r="B101" s="801" t="s">
        <v>705</v>
      </c>
      <c r="C101" s="801"/>
      <c r="D101" s="801"/>
      <c r="E101" s="801"/>
      <c r="F101" s="801"/>
    </row>
    <row r="102" spans="1:6">
      <c r="A102" s="552" t="s">
        <v>706</v>
      </c>
      <c r="B102" s="785" t="s">
        <v>609</v>
      </c>
      <c r="C102" s="785"/>
      <c r="D102" s="785"/>
      <c r="E102" s="785"/>
      <c r="F102" s="37">
        <v>10</v>
      </c>
    </row>
    <row r="103" spans="1:6" ht="23.25" customHeight="1">
      <c r="A103" s="552" t="s">
        <v>707</v>
      </c>
      <c r="B103" s="727" t="s">
        <v>750</v>
      </c>
      <c r="C103" s="727"/>
      <c r="D103" s="727"/>
      <c r="E103" s="727"/>
      <c r="F103" s="85">
        <v>1.19</v>
      </c>
    </row>
    <row r="104" spans="1:6">
      <c r="A104" s="30"/>
      <c r="B104" s="662" t="s">
        <v>610</v>
      </c>
      <c r="C104" s="662"/>
      <c r="D104" s="662"/>
      <c r="E104" s="662"/>
      <c r="F104" s="568">
        <f>F102*2*F103</f>
        <v>23.799999999999997</v>
      </c>
    </row>
    <row r="105" spans="1:6">
      <c r="A105" s="30"/>
      <c r="B105" s="662" t="s">
        <v>767</v>
      </c>
      <c r="C105" s="662"/>
      <c r="D105" s="662"/>
      <c r="E105" s="662"/>
      <c r="F105" s="568">
        <f>F104*(1+BDI!$B$12)</f>
        <v>29.840275862068964</v>
      </c>
    </row>
    <row r="106" spans="1:6">
      <c r="A106" s="537"/>
      <c r="B106" s="769" t="s">
        <v>713</v>
      </c>
      <c r="C106" s="769"/>
      <c r="D106" s="769"/>
      <c r="E106" s="769"/>
      <c r="F106" s="569">
        <f>F105*'Coleta seletiva'!E41</f>
        <v>2387.2220689655169</v>
      </c>
    </row>
    <row r="107" spans="1:6">
      <c r="A107" s="30"/>
      <c r="B107" s="570"/>
      <c r="C107" s="571"/>
      <c r="D107" s="571"/>
      <c r="E107" s="572"/>
      <c r="F107" s="568"/>
    </row>
    <row r="108" spans="1:6">
      <c r="A108" s="810" t="s">
        <v>708</v>
      </c>
      <c r="B108" s="810"/>
      <c r="C108" s="810"/>
      <c r="D108" s="810"/>
      <c r="E108" s="810"/>
      <c r="F108" s="573">
        <f>F99+F106</f>
        <v>80110.295096934831</v>
      </c>
    </row>
    <row r="109" spans="1:6" ht="15" customHeight="1">
      <c r="A109" s="811" t="s">
        <v>709</v>
      </c>
      <c r="B109" s="811"/>
      <c r="C109" s="811"/>
      <c r="D109" s="811"/>
      <c r="E109" s="811"/>
      <c r="F109" s="573">
        <f>F108/2</f>
        <v>40055.147548467416</v>
      </c>
    </row>
    <row r="110" spans="1:6">
      <c r="A110" s="27"/>
      <c r="B110" s="812"/>
      <c r="C110" s="812"/>
      <c r="D110" s="812"/>
      <c r="E110" s="812"/>
      <c r="F110" s="46"/>
    </row>
    <row r="111" spans="1:6" s="193" customFormat="1">
      <c r="A111" s="84"/>
      <c r="B111" s="84"/>
      <c r="C111" s="84"/>
      <c r="D111" s="84"/>
      <c r="E111" s="84"/>
      <c r="F111" s="119"/>
    </row>
    <row r="112" spans="1:6" s="193" customFormat="1" ht="15" customHeight="1">
      <c r="A112" s="236">
        <v>5</v>
      </c>
      <c r="B112" s="801" t="s">
        <v>754</v>
      </c>
      <c r="C112" s="801"/>
      <c r="D112" s="801"/>
      <c r="E112" s="801"/>
      <c r="F112" s="801"/>
    </row>
    <row r="113" spans="1:8" s="193" customFormat="1">
      <c r="A113" s="633"/>
      <c r="B113" s="634" t="s">
        <v>448</v>
      </c>
      <c r="C113" s="635" t="s">
        <v>561</v>
      </c>
      <c r="D113" s="635" t="s">
        <v>431</v>
      </c>
      <c r="E113" s="635" t="s">
        <v>432</v>
      </c>
      <c r="F113" s="636" t="s">
        <v>433</v>
      </c>
    </row>
    <row r="114" spans="1:8" s="193" customFormat="1">
      <c r="A114" s="637" t="s">
        <v>755</v>
      </c>
      <c r="B114" s="638" t="s">
        <v>756</v>
      </c>
      <c r="C114" s="639" t="s">
        <v>757</v>
      </c>
      <c r="D114" s="639">
        <v>80</v>
      </c>
      <c r="E114" s="640">
        <v>5</v>
      </c>
      <c r="F114" s="573">
        <f>D114*E114</f>
        <v>400</v>
      </c>
    </row>
    <row r="115" spans="1:8" s="193" customFormat="1" ht="15.75" thickBot="1">
      <c r="A115" s="641"/>
      <c r="B115" s="642" t="s">
        <v>762</v>
      </c>
      <c r="C115" s="643"/>
      <c r="D115" s="643"/>
      <c r="E115" s="643"/>
      <c r="F115" s="644"/>
    </row>
    <row r="116" spans="1:8" s="193" customFormat="1">
      <c r="A116" s="648"/>
      <c r="B116" s="649"/>
      <c r="C116" s="649"/>
      <c r="D116" s="649"/>
      <c r="E116" s="649"/>
      <c r="F116" s="649"/>
    </row>
    <row r="117" spans="1:8" s="193" customFormat="1">
      <c r="A117" s="236">
        <v>6</v>
      </c>
      <c r="B117" s="801" t="s">
        <v>760</v>
      </c>
      <c r="C117" s="801"/>
      <c r="D117" s="801"/>
      <c r="E117" s="801"/>
      <c r="F117" s="801"/>
    </row>
    <row r="118" spans="1:8" s="193" customFormat="1">
      <c r="A118" s="633"/>
      <c r="B118" s="634" t="s">
        <v>448</v>
      </c>
      <c r="C118" s="635" t="s">
        <v>561</v>
      </c>
      <c r="D118" s="635" t="s">
        <v>431</v>
      </c>
      <c r="E118" s="635" t="s">
        <v>432</v>
      </c>
      <c r="F118" s="636" t="s">
        <v>433</v>
      </c>
    </row>
    <row r="119" spans="1:8" s="193" customFormat="1">
      <c r="A119" s="637" t="s">
        <v>451</v>
      </c>
      <c r="B119" s="638" t="s">
        <v>761</v>
      </c>
      <c r="C119" s="639" t="s">
        <v>666</v>
      </c>
      <c r="D119" s="639">
        <v>330000</v>
      </c>
      <c r="E119" s="640">
        <v>0.24</v>
      </c>
      <c r="F119" s="573">
        <f>D119*E119</f>
        <v>79200</v>
      </c>
    </row>
    <row r="120" spans="1:8" s="193" customFormat="1" ht="15.75" thickBot="1">
      <c r="A120" s="641"/>
      <c r="B120" s="642"/>
      <c r="C120" s="643"/>
      <c r="D120" s="643"/>
      <c r="E120" s="643"/>
      <c r="F120" s="644"/>
    </row>
    <row r="121" spans="1:8" s="193" customFormat="1">
      <c r="A121" s="648"/>
      <c r="B121" s="649"/>
      <c r="C121" s="649"/>
      <c r="D121" s="649"/>
      <c r="E121" s="649"/>
      <c r="F121" s="649"/>
    </row>
    <row r="122" spans="1:8" s="193" customFormat="1" ht="15.75" thickBot="1"/>
    <row r="123" spans="1:8" s="193" customFormat="1" ht="15.75" customHeight="1" thickBot="1">
      <c r="A123" s="645"/>
      <c r="B123" s="814" t="s">
        <v>758</v>
      </c>
      <c r="C123" s="814"/>
      <c r="D123" s="814"/>
      <c r="E123" s="814"/>
      <c r="F123" s="646"/>
      <c r="H123" s="632"/>
    </row>
    <row r="124" spans="1:8" s="193" customFormat="1">
      <c r="A124" s="815" t="s">
        <v>759</v>
      </c>
      <c r="B124" s="815"/>
      <c r="C124" s="815"/>
      <c r="D124" s="815"/>
      <c r="E124" s="815"/>
      <c r="F124" s="815"/>
    </row>
    <row r="125" spans="1:8" s="193" customFormat="1">
      <c r="B125" s="647" t="s">
        <v>763</v>
      </c>
      <c r="F125" s="573">
        <f>(F62*1510+F109*2+F119)-(F114)</f>
        <v>510999.97011313122</v>
      </c>
    </row>
    <row r="126" spans="1:8">
      <c r="A126" s="193"/>
      <c r="B126" s="181"/>
      <c r="C126" s="193"/>
      <c r="D126" s="193"/>
      <c r="E126" s="193"/>
      <c r="F126" s="193"/>
    </row>
    <row r="127" spans="1:8" ht="15" customHeight="1">
      <c r="A127" s="193"/>
      <c r="B127" s="181"/>
      <c r="C127" s="193"/>
      <c r="D127" s="193"/>
      <c r="E127" s="193"/>
      <c r="F127" s="193"/>
      <c r="G127" s="579"/>
    </row>
    <row r="128" spans="1:8">
      <c r="B128" s="1" t="s">
        <v>0</v>
      </c>
    </row>
    <row r="129" spans="1:12" ht="15.75" thickBot="1">
      <c r="A129" s="21"/>
    </row>
    <row r="130" spans="1:12" ht="23.25" thickBot="1">
      <c r="B130" s="2" t="s">
        <v>1</v>
      </c>
      <c r="C130" s="2" t="s">
        <v>2</v>
      </c>
      <c r="L130" s="632"/>
    </row>
    <row r="131" spans="1:12">
      <c r="B131" s="574" t="s">
        <v>3</v>
      </c>
      <c r="C131" s="4">
        <v>0.04</v>
      </c>
    </row>
    <row r="132" spans="1:12">
      <c r="B132" s="575" t="s">
        <v>4</v>
      </c>
      <c r="C132" s="6">
        <v>4.0000000000000001E-3</v>
      </c>
    </row>
    <row r="133" spans="1:12">
      <c r="B133" s="574" t="s">
        <v>5</v>
      </c>
      <c r="C133" s="8">
        <v>6.0000000000000001E-3</v>
      </c>
    </row>
    <row r="134" spans="1:12">
      <c r="B134" s="575" t="s">
        <v>6</v>
      </c>
      <c r="C134" s="10">
        <v>0.01</v>
      </c>
    </row>
    <row r="135" spans="1:12">
      <c r="B135" s="574" t="s">
        <v>7</v>
      </c>
      <c r="C135" s="12">
        <v>0.08</v>
      </c>
    </row>
    <row r="136" spans="1:12">
      <c r="B136" s="575" t="s">
        <v>8</v>
      </c>
      <c r="C136" s="14">
        <v>3.6499999999999998E-2</v>
      </c>
    </row>
    <row r="137" spans="1:12">
      <c r="B137" s="574" t="s">
        <v>9</v>
      </c>
      <c r="C137" s="16">
        <v>0.03</v>
      </c>
    </row>
    <row r="138" spans="1:12" ht="22.5">
      <c r="B138" s="576" t="s">
        <v>10</v>
      </c>
      <c r="C138" s="18">
        <v>0.02</v>
      </c>
    </row>
    <row r="139" spans="1:12">
      <c r="B139" s="19" t="s">
        <v>11</v>
      </c>
      <c r="C139" s="20">
        <v>0.25380000000000003</v>
      </c>
    </row>
    <row r="140" spans="1:12">
      <c r="B140" s="21" t="s">
        <v>12</v>
      </c>
    </row>
    <row r="141" spans="1:12">
      <c r="B141" s="22"/>
    </row>
  </sheetData>
  <mergeCells count="54">
    <mergeCell ref="B112:F112"/>
    <mergeCell ref="B123:E123"/>
    <mergeCell ref="A124:F124"/>
    <mergeCell ref="B117:F117"/>
    <mergeCell ref="B101:F101"/>
    <mergeCell ref="B102:E102"/>
    <mergeCell ref="B103:E103"/>
    <mergeCell ref="B110:E110"/>
    <mergeCell ref="B104:E104"/>
    <mergeCell ref="B105:E105"/>
    <mergeCell ref="B106:E106"/>
    <mergeCell ref="A108:E108"/>
    <mergeCell ref="A109:E109"/>
    <mergeCell ref="B87:E87"/>
    <mergeCell ref="C88:F88"/>
    <mergeCell ref="B97:E97"/>
    <mergeCell ref="B98:E98"/>
    <mergeCell ref="B99:E99"/>
    <mergeCell ref="B100:F100"/>
    <mergeCell ref="B71:E71"/>
    <mergeCell ref="B72:F72"/>
    <mergeCell ref="B73:F73"/>
    <mergeCell ref="B83:E83"/>
    <mergeCell ref="B84:F84"/>
    <mergeCell ref="B60:E60"/>
    <mergeCell ref="A62:E62"/>
    <mergeCell ref="A63:E63"/>
    <mergeCell ref="B65:F65"/>
    <mergeCell ref="C67:F67"/>
    <mergeCell ref="B52:E52"/>
    <mergeCell ref="B53:F53"/>
    <mergeCell ref="B57:E57"/>
    <mergeCell ref="B58:E58"/>
    <mergeCell ref="B59:E59"/>
    <mergeCell ref="B44:E44"/>
    <mergeCell ref="B45:E45"/>
    <mergeCell ref="B46:E46"/>
    <mergeCell ref="B48:F48"/>
    <mergeCell ref="B50:F50"/>
    <mergeCell ref="B27:F27"/>
    <mergeCell ref="B30:E30"/>
    <mergeCell ref="C32:F32"/>
    <mergeCell ref="B41:E41"/>
    <mergeCell ref="B42:F42"/>
    <mergeCell ref="B7:F7"/>
    <mergeCell ref="B13:E13"/>
    <mergeCell ref="B14:F14"/>
    <mergeCell ref="B15:F15"/>
    <mergeCell ref="B25:E25"/>
    <mergeCell ref="A1:F1"/>
    <mergeCell ref="A2:F2"/>
    <mergeCell ref="A3:F3"/>
    <mergeCell ref="A4:F4"/>
    <mergeCell ref="B5:F5"/>
  </mergeCells>
  <pageMargins left="0.70866141732283472" right="0.31496062992125984" top="0.78740157480314965" bottom="0.59055118110236227" header="0.51181102362204722" footer="0.51181102362204722"/>
  <pageSetup paperSize="9" scale="90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LibreOffice/6.3.3.2$Windows_X86_64 LibreOffice_project/a64200df03143b798afd1ec74a12ab50359878ed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BDI</vt:lpstr>
      <vt:lpstr>Mão de obra</vt:lpstr>
      <vt:lpstr>Coleta convencional</vt:lpstr>
      <vt:lpstr>Coleta seletiva</vt:lpstr>
      <vt:lpstr>Orçamento Geral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revision>1</cp:revision>
  <dcterms:created xsi:type="dcterms:W3CDTF">2020-08-27T03:10:57Z</dcterms:created>
  <dcterms:modified xsi:type="dcterms:W3CDTF">2021-03-04T14:22:25Z</dcterms:modified>
  <dc:language/>
</cp:coreProperties>
</file>