
<file path=[Content_Types].xml><?xml version="1.0" encoding="utf-8"?>
<Types xmlns="http://schemas.openxmlformats.org/package/2006/content-types">
  <Default Extension="bin" ContentType="application/vnd.openxmlformats-officedocument.oleObject"/>
  <Override PartName="/xl/printerSettings/printerSettings1.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rinterSettings/printerSettings2.bin" ContentType="application/vnd.openxmlformats-officedocument.spreadsheetml.printerSettings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00" activeTab="1"/>
  </bookViews>
  <sheets>
    <sheet name="AÇO-CONC-FORMA" sheetId="9" r:id="rId1"/>
    <sheet name="TERRAPLANAGEM" sheetId="11" r:id="rId2"/>
    <sheet name="Plan1" sheetId="10" r:id="rId3"/>
  </sheets>
  <definedNames>
    <definedName name="_xlnm.Print_Area" localSheetId="1">TERRAPLANAGEM!$A$1:$O$72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1"/>
  <c r="H22"/>
  <c r="H24"/>
  <c r="V42" i="9"/>
  <c r="V28"/>
  <c r="AJ32"/>
  <c r="V15"/>
  <c r="AJ16"/>
  <c r="G8"/>
  <c r="AI53"/>
  <c r="AH62"/>
  <c r="E42" i="11"/>
  <c r="H20"/>
  <c r="H18"/>
  <c r="H40"/>
  <c r="H38"/>
  <c r="H36"/>
  <c r="H34"/>
  <c r="H32"/>
  <c r="H30"/>
  <c r="H28"/>
  <c r="H26"/>
  <c r="I40"/>
  <c r="I38"/>
  <c r="I36"/>
  <c r="I34"/>
  <c r="I32"/>
  <c r="I30"/>
  <c r="I28"/>
  <c r="I26"/>
  <c r="I24"/>
  <c r="I20"/>
  <c r="I18"/>
  <c r="V56" i="9"/>
  <c r="T56"/>
  <c r="V55"/>
  <c r="T55"/>
  <c r="V54"/>
  <c r="T54"/>
  <c r="V57" s="1"/>
  <c r="AH59"/>
  <c r="AH60" s="1"/>
  <c r="AH32"/>
  <c r="AH45"/>
  <c r="AH53"/>
  <c r="AH54" s="1"/>
  <c r="E54" i="11"/>
  <c r="AH30" i="9"/>
  <c r="AH39"/>
  <c r="AH10"/>
  <c r="AH24"/>
  <c r="AH22"/>
  <c r="AH16"/>
  <c r="AH17" s="1"/>
  <c r="AH11"/>
  <c r="I46" i="11"/>
  <c r="H46"/>
  <c r="F46"/>
  <c r="G46" s="1"/>
  <c r="H78" i="10"/>
  <c r="K41" i="1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S13" i="10"/>
  <c r="U13"/>
  <c r="I14"/>
  <c r="I13"/>
  <c r="I50" i="11"/>
  <c r="H50"/>
  <c r="F50"/>
  <c r="G50" s="1"/>
  <c r="K19"/>
  <c r="K18"/>
  <c r="Q15" i="10"/>
  <c r="L13"/>
  <c r="E96"/>
  <c r="G96"/>
  <c r="H96" s="1"/>
  <c r="I96"/>
  <c r="E97"/>
  <c r="G97"/>
  <c r="H97"/>
  <c r="I97"/>
  <c r="E98"/>
  <c r="G98"/>
  <c r="H98"/>
  <c r="I98"/>
  <c r="E99"/>
  <c r="G99"/>
  <c r="H99"/>
  <c r="I99"/>
  <c r="E100"/>
  <c r="G100"/>
  <c r="H100"/>
  <c r="I100"/>
  <c r="E101"/>
  <c r="G101"/>
  <c r="H101"/>
  <c r="I101"/>
  <c r="G95"/>
  <c r="H95" s="1"/>
  <c r="J13"/>
  <c r="J50" i="11" l="1"/>
  <c r="L46"/>
  <c r="L50"/>
  <c r="J20"/>
  <c r="J18"/>
  <c r="L18" s="1"/>
  <c r="J46"/>
  <c r="K46" s="1"/>
  <c r="H42"/>
  <c r="I42"/>
  <c r="V58" i="9"/>
  <c r="AJ59"/>
  <c r="AH61" s="1"/>
  <c r="J22" i="11"/>
  <c r="L22" s="1"/>
  <c r="J26"/>
  <c r="L26" s="1"/>
  <c r="J34"/>
  <c r="L34" s="1"/>
  <c r="J30"/>
  <c r="J38"/>
  <c r="L38" s="1"/>
  <c r="AH33" i="9"/>
  <c r="AH25"/>
  <c r="J28" i="11"/>
  <c r="L28" s="1"/>
  <c r="J36"/>
  <c r="L36" s="1"/>
  <c r="K42"/>
  <c r="J40"/>
  <c r="L40" s="1"/>
  <c r="L30"/>
  <c r="G13" i="10"/>
  <c r="T36"/>
  <c r="J36"/>
  <c r="I36"/>
  <c r="H36"/>
  <c r="T35"/>
  <c r="I35"/>
  <c r="H35"/>
  <c r="T34"/>
  <c r="I34"/>
  <c r="H34"/>
  <c r="T33"/>
  <c r="S33"/>
  <c r="P33"/>
  <c r="L33"/>
  <c r="J33"/>
  <c r="I33"/>
  <c r="H33"/>
  <c r="G33"/>
  <c r="R33" s="1"/>
  <c r="Q35" s="1"/>
  <c r="Q33" s="1"/>
  <c r="E33"/>
  <c r="J34" s="1"/>
  <c r="T32"/>
  <c r="J32"/>
  <c r="H32"/>
  <c r="I32" s="1"/>
  <c r="T31"/>
  <c r="H31"/>
  <c r="I31" s="1"/>
  <c r="T30"/>
  <c r="H30"/>
  <c r="I30" s="1"/>
  <c r="T29"/>
  <c r="R29"/>
  <c r="Q31" s="1"/>
  <c r="G31" s="1"/>
  <c r="P29"/>
  <c r="L29"/>
  <c r="J29"/>
  <c r="H29"/>
  <c r="I29" s="1"/>
  <c r="G29"/>
  <c r="E29"/>
  <c r="S29" s="1"/>
  <c r="T28"/>
  <c r="J28"/>
  <c r="H28"/>
  <c r="I28" s="1"/>
  <c r="T27"/>
  <c r="H27"/>
  <c r="I27" s="1"/>
  <c r="T26"/>
  <c r="H26"/>
  <c r="I26" s="1"/>
  <c r="T25"/>
  <c r="R25"/>
  <c r="Q27" s="1"/>
  <c r="P25"/>
  <c r="L25"/>
  <c r="J25"/>
  <c r="H25"/>
  <c r="I25" s="1"/>
  <c r="G25"/>
  <c r="E25"/>
  <c r="S25" s="1"/>
  <c r="T24"/>
  <c r="J24"/>
  <c r="H24"/>
  <c r="T23"/>
  <c r="H23"/>
  <c r="T22"/>
  <c r="H22"/>
  <c r="T21"/>
  <c r="P21"/>
  <c r="L21"/>
  <c r="J21"/>
  <c r="H21"/>
  <c r="G21"/>
  <c r="R21" s="1"/>
  <c r="Q23" s="1"/>
  <c r="E21"/>
  <c r="J23" s="1"/>
  <c r="K50" i="11" l="1"/>
  <c r="E58"/>
  <c r="E57"/>
  <c r="J24"/>
  <c r="L24" s="1"/>
  <c r="J32"/>
  <c r="L32" s="1"/>
  <c r="L20"/>
  <c r="N32" i="10"/>
  <c r="N25"/>
  <c r="N36"/>
  <c r="N29"/>
  <c r="N33"/>
  <c r="N28"/>
  <c r="N34"/>
  <c r="J31"/>
  <c r="N31" s="1"/>
  <c r="G35"/>
  <c r="Q29"/>
  <c r="J35"/>
  <c r="N35" s="1"/>
  <c r="M33" s="1"/>
  <c r="U33" s="1"/>
  <c r="J30"/>
  <c r="N30" s="1"/>
  <c r="M29" s="1"/>
  <c r="U29" s="1"/>
  <c r="G27"/>
  <c r="J27"/>
  <c r="N27" s="1"/>
  <c r="J22"/>
  <c r="Q25"/>
  <c r="Q21"/>
  <c r="I23"/>
  <c r="N23" s="1"/>
  <c r="I21"/>
  <c r="N21" s="1"/>
  <c r="S21"/>
  <c r="I22"/>
  <c r="G23"/>
  <c r="I24"/>
  <c r="N24" s="1"/>
  <c r="J26"/>
  <c r="N26" s="1"/>
  <c r="M25" s="1"/>
  <c r="U25" s="1"/>
  <c r="E59" i="11" l="1"/>
  <c r="L42"/>
  <c r="J42"/>
  <c r="F61" s="1"/>
  <c r="N22" i="10"/>
  <c r="M21" s="1"/>
  <c r="U21" s="1"/>
  <c r="F62" i="11" l="1"/>
  <c r="F120" i="10"/>
  <c r="E120"/>
  <c r="D120"/>
  <c r="G116"/>
  <c r="E116"/>
  <c r="F116" s="1"/>
  <c r="B116"/>
  <c r="I112"/>
  <c r="H112"/>
  <c r="G112"/>
  <c r="F112"/>
  <c r="E112"/>
  <c r="I111"/>
  <c r="H111"/>
  <c r="F111"/>
  <c r="G111" s="1"/>
  <c r="E111"/>
  <c r="I110"/>
  <c r="H110"/>
  <c r="G110"/>
  <c r="F110"/>
  <c r="E110"/>
  <c r="I109"/>
  <c r="H109"/>
  <c r="F109"/>
  <c r="G109" s="1"/>
  <c r="E109"/>
  <c r="I108"/>
  <c r="H108"/>
  <c r="G108"/>
  <c r="F108"/>
  <c r="E108"/>
  <c r="I107"/>
  <c r="H107"/>
  <c r="F107"/>
  <c r="G107" s="1"/>
  <c r="E107"/>
  <c r="I106"/>
  <c r="H106"/>
  <c r="G106"/>
  <c r="F106"/>
  <c r="I95"/>
  <c r="H91"/>
  <c r="H90"/>
  <c r="D90"/>
  <c r="H89"/>
  <c r="D89"/>
  <c r="H88"/>
  <c r="D88"/>
  <c r="H87"/>
  <c r="D87"/>
  <c r="H86"/>
  <c r="D86"/>
  <c r="H85"/>
  <c r="D85"/>
  <c r="H84"/>
  <c r="D84"/>
  <c r="H83"/>
  <c r="D83"/>
  <c r="G61"/>
  <c r="H58"/>
  <c r="G58"/>
  <c r="F58"/>
  <c r="E58"/>
  <c r="D58"/>
  <c r="J58" s="1"/>
  <c r="AD57"/>
  <c r="H57"/>
  <c r="G57"/>
  <c r="F57"/>
  <c r="E57"/>
  <c r="I57" s="1"/>
  <c r="D57"/>
  <c r="J57" s="1"/>
  <c r="AD56"/>
  <c r="AE56" s="1"/>
  <c r="H56"/>
  <c r="G56"/>
  <c r="F56"/>
  <c r="E56"/>
  <c r="D56"/>
  <c r="J56" s="1"/>
  <c r="H55"/>
  <c r="G55"/>
  <c r="F55"/>
  <c r="E55"/>
  <c r="D55"/>
  <c r="J55" s="1"/>
  <c r="H54"/>
  <c r="G54"/>
  <c r="F54"/>
  <c r="E54"/>
  <c r="D54"/>
  <c r="J54" s="1"/>
  <c r="H53"/>
  <c r="G53"/>
  <c r="F53"/>
  <c r="E53"/>
  <c r="D53"/>
  <c r="J53" s="1"/>
  <c r="V45"/>
  <c r="K44"/>
  <c r="D44"/>
  <c r="D52" s="1"/>
  <c r="AL20"/>
  <c r="AW18"/>
  <c r="AV18"/>
  <c r="AU18"/>
  <c r="AW17"/>
  <c r="AV17"/>
  <c r="AU17"/>
  <c r="AB17"/>
  <c r="R17"/>
  <c r="Q19" s="1"/>
  <c r="P17"/>
  <c r="L17"/>
  <c r="G17"/>
  <c r="G19" s="1"/>
  <c r="E17"/>
  <c r="AQ16"/>
  <c r="AL16"/>
  <c r="AW14"/>
  <c r="AV14"/>
  <c r="AU14"/>
  <c r="AW13"/>
  <c r="AV13"/>
  <c r="AU13"/>
  <c r="AB13"/>
  <c r="P13"/>
  <c r="P44" s="1"/>
  <c r="L44"/>
  <c r="E13"/>
  <c r="AQ20" s="1"/>
  <c r="V10" i="9"/>
  <c r="AH46"/>
  <c r="L20"/>
  <c r="N20" s="1"/>
  <c r="I30"/>
  <c r="I29"/>
  <c r="F30"/>
  <c r="F29"/>
  <c r="T39"/>
  <c r="V40" s="1"/>
  <c r="V39"/>
  <c r="V41" s="1"/>
  <c r="AH40"/>
  <c r="F8"/>
  <c r="I8"/>
  <c r="F9"/>
  <c r="I9"/>
  <c r="F10"/>
  <c r="I10"/>
  <c r="F11"/>
  <c r="I11"/>
  <c r="F20"/>
  <c r="I20"/>
  <c r="F21"/>
  <c r="I21"/>
  <c r="F22"/>
  <c r="I22"/>
  <c r="F23"/>
  <c r="I23"/>
  <c r="F24"/>
  <c r="I24"/>
  <c r="F25"/>
  <c r="I25"/>
  <c r="F26"/>
  <c r="I26"/>
  <c r="F27"/>
  <c r="I27"/>
  <c r="F28"/>
  <c r="I28"/>
  <c r="F37"/>
  <c r="I37"/>
  <c r="F38"/>
  <c r="I38"/>
  <c r="F39"/>
  <c r="I39"/>
  <c r="F40"/>
  <c r="I40"/>
  <c r="F41"/>
  <c r="I41"/>
  <c r="V25"/>
  <c r="V22"/>
  <c r="T25"/>
  <c r="T22"/>
  <c r="T24"/>
  <c r="T23"/>
  <c r="T11"/>
  <c r="V24"/>
  <c r="V23"/>
  <c r="V12"/>
  <c r="V11"/>
  <c r="T12"/>
  <c r="T10"/>
  <c r="G28" l="1"/>
  <c r="G24"/>
  <c r="G22"/>
  <c r="G20"/>
  <c r="L8"/>
  <c r="G21"/>
  <c r="H59" i="10"/>
  <c r="I55"/>
  <c r="G59"/>
  <c r="I54"/>
  <c r="E59"/>
  <c r="I56"/>
  <c r="I58"/>
  <c r="AC19"/>
  <c r="AC20"/>
  <c r="AC18"/>
  <c r="AC17"/>
  <c r="J52"/>
  <c r="J59" s="1"/>
  <c r="D59"/>
  <c r="J19"/>
  <c r="J17"/>
  <c r="R13"/>
  <c r="V13"/>
  <c r="AD54" s="1"/>
  <c r="AE54" s="1"/>
  <c r="S17"/>
  <c r="S44" s="1"/>
  <c r="O68" s="1"/>
  <c r="J18"/>
  <c r="V17"/>
  <c r="Q17"/>
  <c r="I53"/>
  <c r="G29" i="9"/>
  <c r="G30"/>
  <c r="G40"/>
  <c r="G38"/>
  <c r="G37"/>
  <c r="G41"/>
  <c r="G26"/>
  <c r="G9"/>
  <c r="L37"/>
  <c r="N37" s="1"/>
  <c r="N38" s="1"/>
  <c r="G25"/>
  <c r="G10"/>
  <c r="G27"/>
  <c r="G11"/>
  <c r="G39"/>
  <c r="G23"/>
  <c r="V27"/>
  <c r="V26"/>
  <c r="V13"/>
  <c r="V14"/>
  <c r="L21"/>
  <c r="N21" s="1"/>
  <c r="N22" s="1"/>
  <c r="I59" i="10" l="1"/>
  <c r="H17"/>
  <c r="I17" s="1"/>
  <c r="N17" s="1"/>
  <c r="N69"/>
  <c r="H19"/>
  <c r="I19" s="1"/>
  <c r="N19" s="1"/>
  <c r="AG18"/>
  <c r="T19"/>
  <c r="V44"/>
  <c r="AD55"/>
  <c r="AE55" s="1"/>
  <c r="T20"/>
  <c r="H20"/>
  <c r="I20" s="1"/>
  <c r="AG19"/>
  <c r="AG20"/>
  <c r="AG17"/>
  <c r="T18"/>
  <c r="H18"/>
  <c r="I18" s="1"/>
  <c r="N18" s="1"/>
  <c r="J20"/>
  <c r="N8" i="9"/>
  <c r="N9" s="1"/>
  <c r="AC13" i="10" l="1"/>
  <c r="G15"/>
  <c r="N70"/>
  <c r="AN17"/>
  <c r="AP17" s="1"/>
  <c r="AR17" s="1"/>
  <c r="Q13"/>
  <c r="Q44" s="1"/>
  <c r="N20"/>
  <c r="AN18"/>
  <c r="AO17" s="1"/>
  <c r="AN19"/>
  <c r="AO18" s="1"/>
  <c r="AN20"/>
  <c r="AO19" s="1"/>
  <c r="M17"/>
  <c r="U17" s="1"/>
  <c r="AP19" l="1"/>
  <c r="AR19" s="1"/>
  <c r="AP20"/>
  <c r="AD20" s="1"/>
  <c r="AE20" s="1"/>
  <c r="AC15"/>
  <c r="AC16"/>
  <c r="AC14"/>
  <c r="AQ18"/>
  <c r="AQ17"/>
  <c r="AD17"/>
  <c r="AE17" s="1"/>
  <c r="AQ19"/>
  <c r="AP18"/>
  <c r="AR18" s="1"/>
  <c r="AD19" l="1"/>
  <c r="AE19" s="1"/>
  <c r="AR20"/>
  <c r="AD18"/>
  <c r="AE18" s="1"/>
  <c r="AH17" s="1"/>
  <c r="AF17" s="1"/>
  <c r="H16"/>
  <c r="AG15"/>
  <c r="AG16"/>
  <c r="J16"/>
  <c r="J47" s="1"/>
  <c r="H13"/>
  <c r="J44"/>
  <c r="AG13"/>
  <c r="H14"/>
  <c r="J14"/>
  <c r="J45" s="1"/>
  <c r="AH20"/>
  <c r="T15"/>
  <c r="T46" s="1"/>
  <c r="O65" s="1"/>
  <c r="H15"/>
  <c r="AG14"/>
  <c r="J15"/>
  <c r="J46" s="1"/>
  <c r="AH19" l="1"/>
  <c r="AF19" s="1"/>
  <c r="AI19" s="1"/>
  <c r="AH18"/>
  <c r="AF18" s="1"/>
  <c r="AI18" s="1"/>
  <c r="AJ17" s="1"/>
  <c r="AL17" s="1"/>
  <c r="AI17"/>
  <c r="AK17" s="1"/>
  <c r="AM17" s="1"/>
  <c r="AN14"/>
  <c r="AO13" s="1"/>
  <c r="AF20"/>
  <c r="AI20" s="1"/>
  <c r="H47"/>
  <c r="O55" s="1"/>
  <c r="I16"/>
  <c r="H44"/>
  <c r="H45"/>
  <c r="O53" s="1"/>
  <c r="AN15"/>
  <c r="AO14" s="1"/>
  <c r="H46"/>
  <c r="O54" s="1"/>
  <c r="I15"/>
  <c r="AN13"/>
  <c r="AP13" s="1"/>
  <c r="AR13" s="1"/>
  <c r="AN16"/>
  <c r="AO15" s="1"/>
  <c r="AP15" l="1"/>
  <c r="AR15" s="1"/>
  <c r="AK18"/>
  <c r="AM18" s="1"/>
  <c r="AJ18"/>
  <c r="AL18" s="1"/>
  <c r="AK19"/>
  <c r="AM19" s="1"/>
  <c r="AJ19"/>
  <c r="AL19" s="1"/>
  <c r="AK20"/>
  <c r="AM20" s="1"/>
  <c r="AQ15"/>
  <c r="AQ13"/>
  <c r="AD13"/>
  <c r="AE13" s="1"/>
  <c r="I46"/>
  <c r="N15"/>
  <c r="N46" s="1"/>
  <c r="M54" s="1"/>
  <c r="N14"/>
  <c r="I45"/>
  <c r="I47"/>
  <c r="N16"/>
  <c r="T17"/>
  <c r="AQ14"/>
  <c r="I44"/>
  <c r="N13"/>
  <c r="AP16"/>
  <c r="AP14"/>
  <c r="AR14" s="1"/>
  <c r="N47" l="1"/>
  <c r="M55" s="1"/>
  <c r="AD15"/>
  <c r="AE15" s="1"/>
  <c r="N45"/>
  <c r="M53" s="1"/>
  <c r="AS17"/>
  <c r="AT17" s="1"/>
  <c r="N44"/>
  <c r="M52" s="1"/>
  <c r="M13"/>
  <c r="AR16"/>
  <c r="AD16"/>
  <c r="AE16" s="1"/>
  <c r="AD14"/>
  <c r="AE14" s="1"/>
  <c r="AH13" s="1"/>
  <c r="AH15" l="1"/>
  <c r="AH16"/>
  <c r="M44"/>
  <c r="U44"/>
  <c r="M59" s="1"/>
  <c r="P59" s="1"/>
  <c r="AH14"/>
  <c r="AF13"/>
  <c r="AI13" s="1"/>
  <c r="AK13" s="1"/>
  <c r="AM13" s="1"/>
  <c r="AF14" l="1"/>
  <c r="AI14" s="1"/>
  <c r="AF15"/>
  <c r="AI15" s="1"/>
  <c r="AF16"/>
  <c r="AI16" s="1"/>
  <c r="AJ15" s="1"/>
  <c r="AL15" s="1"/>
  <c r="AJ13" l="1"/>
  <c r="AL13" s="1"/>
  <c r="AK14"/>
  <c r="AM14" s="1"/>
  <c r="AJ14"/>
  <c r="AL14" s="1"/>
  <c r="AK15"/>
  <c r="AM15" s="1"/>
  <c r="AK16"/>
  <c r="AM16" s="1"/>
  <c r="T16" s="1"/>
  <c r="T47" s="1"/>
  <c r="O66" s="1"/>
  <c r="T14" l="1"/>
  <c r="T45" s="1"/>
  <c r="O64" s="1"/>
  <c r="T13"/>
  <c r="T44" s="1"/>
  <c r="O63" s="1"/>
  <c r="AS13" l="1"/>
  <c r="AT13" s="1"/>
  <c r="O67"/>
  <c r="M60" s="1"/>
  <c r="P60" s="1"/>
</calcChain>
</file>

<file path=xl/sharedStrings.xml><?xml version="1.0" encoding="utf-8"?>
<sst xmlns="http://schemas.openxmlformats.org/spreadsheetml/2006/main" count="504" uniqueCount="263">
  <si>
    <t>C
(cm)</t>
  </si>
  <si>
    <t>PREFEITURA MUNICIPAL DE GASPAR</t>
  </si>
  <si>
    <t>OBJETO:</t>
  </si>
  <si>
    <t>PROGRAMA:</t>
  </si>
  <si>
    <t>CONTRATO:</t>
  </si>
  <si>
    <t>OBRA:</t>
  </si>
  <si>
    <t>VOLUME DE CONCRETO E ÁREA DE FORMA</t>
  </si>
  <si>
    <t>Vol. Concr.
(m³)</t>
  </si>
  <si>
    <t>Área forma
(m²)</t>
  </si>
  <si>
    <t>Ø tubo jus. (cm)</t>
  </si>
  <si>
    <t>Dimensões Caixas (cm)</t>
  </si>
  <si>
    <t>L</t>
  </si>
  <si>
    <t>C</t>
  </si>
  <si>
    <t>P</t>
  </si>
  <si>
    <t>Ø120</t>
  </si>
  <si>
    <t>Pos.</t>
  </si>
  <si>
    <t>Quant.</t>
  </si>
  <si>
    <t>Comp. Unit. (cm)</t>
  </si>
  <si>
    <t>Comp. Total (cm)</t>
  </si>
  <si>
    <t>CA-50 (kg)</t>
  </si>
  <si>
    <t>CAIXA DE LIGAÇÃO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</si>
  <si>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</si>
  <si>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</si>
  <si>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</si>
  <si>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</si>
  <si>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</si>
  <si>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</si>
  <si>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</si>
  <si>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</si>
  <si>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</si>
  <si>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</si>
  <si>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N11</t>
  </si>
  <si>
    <t>Peso (kg/m)</t>
  </si>
  <si>
    <t>Diam. (mm)</t>
  </si>
  <si>
    <t>Diam</t>
  </si>
  <si>
    <t>Peso + 10%</t>
  </si>
  <si>
    <t>C. total (m)</t>
  </si>
  <si>
    <t>TOTAL + 10%</t>
  </si>
  <si>
    <t>Altura (h)</t>
  </si>
  <si>
    <t>L1</t>
  </si>
  <si>
    <t>L2</t>
  </si>
  <si>
    <t>L3</t>
  </si>
  <si>
    <t>TAMPA</t>
  </si>
  <si>
    <t>Total concreto +5%</t>
  </si>
  <si>
    <t>Total forma +10%</t>
  </si>
  <si>
    <t>TOTAL:</t>
  </si>
  <si>
    <t>POÇO DE VISITA TIPO 2</t>
  </si>
  <si>
    <t>POÇO DE VISITA TIPO 1</t>
  </si>
  <si>
    <t>L
(cm)</t>
  </si>
  <si>
    <t>ÁREA DE REBOCO DA CAIXA DE LIGAÇÃO (m²)</t>
  </si>
  <si>
    <t>ÁREA DE PAREDE DA CAIXA DE LIGAÇÃO (m²)</t>
  </si>
  <si>
    <t>ÁREA DE PAREDE DO PV TIPO1 (m²)</t>
  </si>
  <si>
    <t>ÁREA DE REBOCO DO PV TIPO1 (m²)</t>
  </si>
  <si>
    <t>ÁREA DE PAREDE DO PV (m²)</t>
  </si>
  <si>
    <t>ÁREA DE REBOCO DO PV (m²)</t>
  </si>
  <si>
    <t>Secretaria de Planejamento Territorial</t>
  </si>
  <si>
    <t xml:space="preserve">         PREFEITURA MUNICIPAL DE GASPAR</t>
  </si>
  <si>
    <t xml:space="preserve">           SECRETARIA DE PLANEJAMENTO  TERRITORIAL</t>
  </si>
  <si>
    <t>CONTRATO</t>
  </si>
  <si>
    <t>LOCAL:</t>
  </si>
  <si>
    <t>PLANILHA DE CÁLCULO DE QUANTITATIVO</t>
  </si>
  <si>
    <t xml:space="preserve">Local
</t>
  </si>
  <si>
    <t xml:space="preserve">Caixa a montante
</t>
  </si>
  <si>
    <t xml:space="preserve">Ext. rede
(m)
</t>
  </si>
  <si>
    <t xml:space="preserve">Larg.
Vala
(m)
</t>
  </si>
  <si>
    <t xml:space="preserve">Prof. Cx
Mont.(m)
</t>
  </si>
  <si>
    <t xml:space="preserve">Prof. Méd. Vala (m)
</t>
  </si>
  <si>
    <t xml:space="preserve">Área Escor. </t>
  </si>
  <si>
    <t xml:space="preserve">Vol. Esc.Vala </t>
  </si>
  <si>
    <t>Vol. Esc. CX - Vala</t>
  </si>
  <si>
    <t xml:space="preserve">Ext. trav.
(m)
</t>
  </si>
  <si>
    <t>Vol. Esc. Trav/BL  (m³)</t>
  </si>
  <si>
    <t xml:space="preserve">Total
Vol. Esc.
(m³)
</t>
  </si>
  <si>
    <t>Vol. esc.
(m³)</t>
  </si>
  <si>
    <t xml:space="preserve">Diâm.
Tubo
(m)
</t>
  </si>
  <si>
    <t xml:space="preserve">Vol. Tubo
(m³)
</t>
  </si>
  <si>
    <t>Vol. Berço
(m³)</t>
  </si>
  <si>
    <t xml:space="preserve">Tipo 
berço
</t>
  </si>
  <si>
    <t>REATERRO (m³)</t>
  </si>
  <si>
    <t xml:space="preserve">Bota-fora
(m³)
</t>
  </si>
  <si>
    <t>Área Remoç.
Pavim. (m²)</t>
  </si>
  <si>
    <t xml:space="preserve">Tipo
Pav.
</t>
  </si>
  <si>
    <t>Volume reaterro+ tubo+berço+travessa</t>
  </si>
  <si>
    <t xml:space="preserve">Reaprov. Material Escavado prof. Até 1,5 m
</t>
  </si>
  <si>
    <t>Mat. Jaz.</t>
  </si>
  <si>
    <t>prof. até 1,5 m</t>
  </si>
  <si>
    <t>1,5 - 3,0</t>
  </si>
  <si>
    <t>Área Recomp. Pavim. (m²)</t>
  </si>
  <si>
    <t>área de remoção PV</t>
  </si>
  <si>
    <t>área de remoção rede</t>
  </si>
  <si>
    <t>área de remoção trav.</t>
  </si>
  <si>
    <t>Caixa a Jusante</t>
  </si>
  <si>
    <t>Prof. Cx
Jus.(m)</t>
  </si>
  <si>
    <r>
      <t xml:space="preserve">Prof. Méd. </t>
    </r>
    <r>
      <rPr>
        <b/>
        <sz val="12"/>
        <rFont val="Arial Narrow"/>
        <family val="2"/>
      </rPr>
      <t>+</t>
    </r>
    <r>
      <rPr>
        <b/>
        <sz val="9"/>
        <rFont val="Arial Narrow"/>
        <family val="2"/>
      </rPr>
      <t xml:space="preserve"> </t>
    </r>
    <r>
      <rPr>
        <b/>
        <sz val="8"/>
        <rFont val="Arial Narrow"/>
        <family val="2"/>
      </rPr>
      <t>berço</t>
    </r>
    <r>
      <rPr>
        <b/>
        <sz val="9"/>
        <rFont val="Arial Narrow"/>
        <family val="2"/>
      </rPr>
      <t>(m)</t>
    </r>
  </si>
  <si>
    <t>3,0 - 4,5</t>
  </si>
  <si>
    <t xml:space="preserve">Quant. BL
</t>
  </si>
  <si>
    <t>Alt. Berço
(m)</t>
  </si>
  <si>
    <t>Volume Tubo</t>
  </si>
  <si>
    <t>Volume Berço</t>
  </si>
  <si>
    <t xml:space="preserve">4,5 - 6,0 </t>
  </si>
  <si>
    <t>V. Tubo 1</t>
  </si>
  <si>
    <t>V. Tubo 2</t>
  </si>
  <si>
    <t>V. Berço 1</t>
  </si>
  <si>
    <t>V. Berço 2</t>
  </si>
  <si>
    <t>V</t>
  </si>
  <si>
    <t>A</t>
  </si>
  <si>
    <t>B</t>
  </si>
  <si>
    <t>M</t>
  </si>
  <si>
    <t>D</t>
  </si>
  <si>
    <t>Até 1,5 m</t>
  </si>
  <si>
    <t>1,5 a 3,0 m</t>
  </si>
  <si>
    <t>3,0 a 4,5 m</t>
  </si>
  <si>
    <t>4,5 a 6,0 m</t>
  </si>
  <si>
    <t>RESUMO DE QUANTITATIVO</t>
  </si>
  <si>
    <t>Ø TUBO</t>
  </si>
  <si>
    <t>EXT.
(m)</t>
  </si>
  <si>
    <t>Quant.
PV</t>
  </si>
  <si>
    <t>Quant.
PVBL</t>
  </si>
  <si>
    <t>Quant.
Cx.Lig.-CL</t>
  </si>
  <si>
    <t>Quant.
Cx.Insp.- CI</t>
  </si>
  <si>
    <t>Vol. 
Brita 1</t>
  </si>
  <si>
    <t>Tábua
 pinus (m³)</t>
  </si>
  <si>
    <t>PROF. VALA</t>
  </si>
  <si>
    <t xml:space="preserve">Vol. Escavação
</t>
  </si>
  <si>
    <t xml:space="preserve">Área Escoram.
</t>
  </si>
  <si>
    <t xml:space="preserve">PAVIMENTAÇÃO
</t>
  </si>
  <si>
    <t>Até 1,50 m</t>
  </si>
  <si>
    <t>TIPO</t>
  </si>
  <si>
    <t>ESPESS.
(m)</t>
  </si>
  <si>
    <t>REMOÇÃO</t>
  </si>
  <si>
    <t>Área (m²)</t>
  </si>
  <si>
    <t>Vol. (m³)</t>
  </si>
  <si>
    <t>Asfalto</t>
  </si>
  <si>
    <t>Lajota</t>
  </si>
  <si>
    <t>Paralelepípedo</t>
  </si>
  <si>
    <t>TRANSPORTE MATERIAL</t>
  </si>
  <si>
    <t>Macadame</t>
  </si>
  <si>
    <t>DMT</t>
  </si>
  <si>
    <t>Tx. Empol.</t>
  </si>
  <si>
    <t>M³ x Km</t>
  </si>
  <si>
    <t>SOMA</t>
  </si>
  <si>
    <t>Bota fora</t>
  </si>
  <si>
    <t>Mat. Jazida</t>
  </si>
  <si>
    <t>BOCA DE LOBO COM GRELHA - BLG</t>
  </si>
  <si>
    <t>BOCA DE LOBO COM TAMPA - BLT</t>
  </si>
  <si>
    <t>MATERIAL DE JAZIDA</t>
  </si>
  <si>
    <t xml:space="preserve">Reaterro Mat. 1ª categoria
</t>
  </si>
  <si>
    <t>até 1,5 m</t>
  </si>
  <si>
    <t>Total (m³)</t>
  </si>
  <si>
    <t>Reap. Mat. Escav.</t>
  </si>
  <si>
    <t>Rachão</t>
  </si>
  <si>
    <t>Brita 2</t>
  </si>
  <si>
    <t>ESPESSURA DO PAVIMENTO</t>
  </si>
  <si>
    <t>ESP. PAV</t>
  </si>
  <si>
    <t>BERÇO</t>
  </si>
  <si>
    <t>Solo</t>
  </si>
  <si>
    <t>Brita</t>
  </si>
  <si>
    <t>Rach/Brita</t>
  </si>
  <si>
    <t>AP</t>
  </si>
  <si>
    <t xml:space="preserve">Vol. Tubo Ø 30cm = </t>
  </si>
  <si>
    <t>m³/ml</t>
  </si>
  <si>
    <t>Tubo Concreto</t>
  </si>
  <si>
    <t>Tubo PVC Helicoidal</t>
  </si>
  <si>
    <t>Ø</t>
  </si>
  <si>
    <t>Larg. Vala</t>
  </si>
  <si>
    <t>Larg. Ret. Pav.</t>
  </si>
  <si>
    <t xml:space="preserve">Ø
</t>
  </si>
  <si>
    <t>CAIXA DE LIGAÇÃO - CL</t>
  </si>
  <si>
    <t>Ø TUBO JUSANTE (m)</t>
  </si>
  <si>
    <t>larg</t>
  </si>
  <si>
    <t>Compr.</t>
  </si>
  <si>
    <t>área CL</t>
  </si>
  <si>
    <t>Alt. CL
(m)</t>
  </si>
  <si>
    <t>área retirada de pav.</t>
  </si>
  <si>
    <t>Área ret. pav.
(PV-Vala)</t>
  </si>
  <si>
    <t>Compr.
+ 1,40</t>
  </si>
  <si>
    <t>Gercio Issao Kussunoki</t>
  </si>
  <si>
    <t>CREA SC 055.572-6</t>
  </si>
  <si>
    <t>POÇOS DE VISITA - PV</t>
  </si>
  <si>
    <t>área PV</t>
  </si>
  <si>
    <t>Área ret. pav.
(PV - Vala)</t>
  </si>
  <si>
    <t>área escav.</t>
  </si>
  <si>
    <t xml:space="preserve">TUB. TRAVESSAS </t>
  </si>
  <si>
    <t>Ø tubo</t>
  </si>
  <si>
    <t>Larg.Vala</t>
  </si>
  <si>
    <t>Prof. Méd.</t>
  </si>
  <si>
    <t xml:space="preserve">Ext. </t>
  </si>
  <si>
    <t>Vol. Esc.</t>
  </si>
  <si>
    <t>Vol. Reat.</t>
  </si>
  <si>
    <t>Área ret. Pav.</t>
  </si>
  <si>
    <t>BOCA DE LOBO</t>
  </si>
  <si>
    <t>Compr.esc.</t>
  </si>
  <si>
    <t>Larg.esc.</t>
  </si>
  <si>
    <t>Prof.esc.</t>
  </si>
  <si>
    <t>BLT1</t>
  </si>
  <si>
    <t>PV01</t>
  </si>
  <si>
    <t>PV</t>
  </si>
  <si>
    <t>Prof. Méd. Vala (m)</t>
  </si>
  <si>
    <t>Vol. da CL (m³)</t>
  </si>
  <si>
    <t>Larg. de escavação +1,6 (m)</t>
  </si>
  <si>
    <t>Comp. de escavação +1,6 (m)</t>
  </si>
  <si>
    <t xml:space="preserve">Larg. Cx. (m) </t>
  </si>
  <si>
    <t>Compr.  Cx. (m)</t>
  </si>
  <si>
    <t>Alt. Cx.
(m)</t>
  </si>
  <si>
    <t>área Cx. (m²)</t>
  </si>
  <si>
    <t>BLT01</t>
  </si>
  <si>
    <t>Larg. de escavação +1,4 (m)</t>
  </si>
  <si>
    <t>Comp. de escavação +1,4 (m)</t>
  </si>
  <si>
    <t>BLT02</t>
  </si>
  <si>
    <t>BLT03</t>
  </si>
  <si>
    <t>BLT04</t>
  </si>
  <si>
    <t>BLT05</t>
  </si>
  <si>
    <t>BLT06</t>
  </si>
  <si>
    <t>BLT07</t>
  </si>
  <si>
    <t>BLT08</t>
  </si>
  <si>
    <t>BLT09</t>
  </si>
  <si>
    <t>BLT10</t>
  </si>
  <si>
    <t>BLT11</t>
  </si>
  <si>
    <t>BLT12</t>
  </si>
  <si>
    <t>PV02</t>
  </si>
  <si>
    <t>CLO1</t>
  </si>
  <si>
    <t>PV03</t>
  </si>
  <si>
    <t>TOTAL</t>
  </si>
  <si>
    <t>ÁREA DE PAREDE DA BOCA DE LOBO (m²)</t>
  </si>
  <si>
    <t>ÁREA DE REBOCO DA BOCA DE LOBO (m²)</t>
  </si>
  <si>
    <t>h (med.)</t>
  </si>
  <si>
    <t>PV04</t>
  </si>
  <si>
    <t>Área Escoramento</t>
  </si>
  <si>
    <t xml:space="preserve">Volume Escavação da Vala
(m³)
</t>
  </si>
  <si>
    <t>TIJOLO</t>
  </si>
  <si>
    <t>8X25</t>
  </si>
  <si>
    <t>Dimensões Caixas (m)</t>
  </si>
  <si>
    <t>Dimensões Chaminé (m)</t>
  </si>
  <si>
    <t>ARGAMASSA</t>
  </si>
  <si>
    <t>1cm</t>
  </si>
  <si>
    <t>BASE</t>
  </si>
  <si>
    <t>VOL.</t>
  </si>
  <si>
    <t>BRITA</t>
  </si>
  <si>
    <t>BRITA (m³)</t>
  </si>
  <si>
    <t>Vol. de reaterro (m³)</t>
  </si>
  <si>
    <t>Área de escoramento da caixa</t>
  </si>
  <si>
    <t>Vol. de escavação h=1,2 (m³)</t>
  </si>
  <si>
    <t>Vol. de escavação h=2,4 (m³)</t>
  </si>
  <si>
    <t>AVANÇA GASPAR</t>
  </si>
  <si>
    <t>IMPLANTAÇÃO DE VIA PLANEJADA</t>
  </si>
  <si>
    <t>ATÉ 1,5m:</t>
  </si>
  <si>
    <t>ATÉ 3,0m:</t>
  </si>
  <si>
    <t>VOLUME DE ESCAVAÇÃO:</t>
  </si>
  <si>
    <t>VOLUME DE REATERRO:</t>
  </si>
  <si>
    <t>m³</t>
  </si>
  <si>
    <t>VOLUME DE BOTA-FORA</t>
  </si>
  <si>
    <t>PLANILHA DE CÁLCULO DE QUANTITATIVO PARA DRENAGEM</t>
  </si>
  <si>
    <t>VP-27</t>
  </si>
  <si>
    <t>CL-02</t>
  </si>
  <si>
    <t>TRECHO: Rua Prefeito Leopoldo Schramm X Rua José Eberhardt, Bairro: Coloninha</t>
  </si>
  <si>
    <t>_________________________________________________________</t>
  </si>
  <si>
    <t>Responsável Técnico</t>
  </si>
  <si>
    <t>Nome:</t>
  </si>
  <si>
    <t>FLAVIO ROBERTO SOUSA DOS SANTOS</t>
  </si>
  <si>
    <t>CREA-SC:</t>
  </si>
  <si>
    <t>165.057-0</t>
  </si>
  <si>
    <t>ART/RRT:</t>
  </si>
  <si>
    <t>7533219-6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</si>
</sst>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0.000"/>
    <numFmt numFmtId="165" formatCode="0.0"/>
    <numFmt numFmtId="166" formatCode="_(* #,##0.00_);_(* \(#,##0.00\);_(* &quot;-&quot;??_);_(@_)"/>
    <numFmt numFmtId="167" formatCode="_-* #,##0.00_-;\-* #,##0.00_-;_-* &quot;-&quot;?_-;_-@_-"/>
    <numFmt numFmtId="168" formatCode="_(* #,##0_);_(* \(#,##0\);_(* &quot;-&quot;??_);_(@_)"/>
    <numFmt numFmtId="169" formatCode="_(* #,##0.000_);_(* \(#,##0.000\);_(* &quot;-&quot;??_);_(@_)"/>
    <numFmt numFmtId="170" formatCode="#,##0.000"/>
    <numFmt numFmtId="171" formatCode="0.0000"/>
    <numFmt numFmtId="172" formatCode="_-* #,##0.00000_-;\-* #,##0.00000_-;_-* &quot;-&quot;??_-;_-@_-"/>
    <numFmt numFmtId="173" formatCode="_-* #,##0.000_-;\-* #,##0.000_-;_-* &quot;-&quot;???_-;_-@_-"/>
  </numFmts>
  <fonts count="3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6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b/>
      <sz val="11"/>
      <name val="Arial Narrow"/>
      <family val="2"/>
    </font>
    <font>
      <b/>
      <sz val="8"/>
      <name val="Arial Narrow"/>
      <family val="2"/>
    </font>
    <font>
      <b/>
      <sz val="10"/>
      <name val="Arial"/>
      <family val="2"/>
    </font>
    <font>
      <b/>
      <sz val="16"/>
      <name val="Arial Narrow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rgb="FF0070C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color rgb="FFFFCC99"/>
      <name val="Arial"/>
      <family val="2"/>
    </font>
    <font>
      <sz val="10"/>
      <color rgb="FFFFFFFF"/>
      <name val="Arial"/>
      <family val="2"/>
    </font>
    <font>
      <b/>
      <sz val="10"/>
      <color rgb="FF000000"/>
      <name val="Arial"/>
      <family val="2"/>
    </font>
    <font>
      <b/>
      <sz val="10"/>
      <color rgb="FFFFFF00"/>
      <name val="Arial"/>
      <family val="2"/>
    </font>
    <font>
      <b/>
      <sz val="10"/>
      <color rgb="FF808080"/>
      <name val="Arial"/>
      <family val="2"/>
    </font>
    <font>
      <sz val="10"/>
      <color rgb="FF808080"/>
      <name val="Arial"/>
      <family val="2"/>
    </font>
    <font>
      <b/>
      <sz val="20"/>
      <name val="Arial Narrow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66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BEEF3"/>
        <bgColor rgb="FF000000"/>
      </patternFill>
    </fill>
    <fill>
      <patternFill patternType="solid">
        <fgColor rgb="FFF2DDDC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theme="5" tint="0.59999389629810485"/>
        <bgColor rgb="FF000000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2" fillId="0" borderId="0"/>
    <xf numFmtId="0" fontId="23" fillId="0" borderId="0"/>
  </cellStyleXfs>
  <cellXfs count="670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5" fillId="0" borderId="0" xfId="0" applyFont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/>
    <xf numFmtId="0" fontId="0" fillId="3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/>
    <xf numFmtId="1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5" fillId="0" borderId="0" xfId="0" applyFont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right"/>
    </xf>
    <xf numFmtId="164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vertical="center"/>
    </xf>
    <xf numFmtId="164" fontId="0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164" fontId="0" fillId="0" borderId="0" xfId="0" applyNumberFormat="1" applyFont="1"/>
    <xf numFmtId="2" fontId="0" fillId="0" borderId="0" xfId="0" applyNumberFormat="1" applyFont="1"/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/>
    </xf>
    <xf numFmtId="0" fontId="11" fillId="0" borderId="8" xfId="0" applyFont="1" applyBorder="1" applyAlignment="1"/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7" xfId="0" applyFont="1" applyBorder="1" applyAlignment="1">
      <alignment horizontal="center"/>
    </xf>
    <xf numFmtId="0" fontId="19" fillId="0" borderId="7" xfId="0" applyFont="1" applyBorder="1" applyAlignment="1"/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/>
    <xf numFmtId="0" fontId="17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horizontal="center" wrapText="1"/>
    </xf>
    <xf numFmtId="166" fontId="22" fillId="0" borderId="18" xfId="1" applyNumberFormat="1" applyFont="1" applyFill="1" applyBorder="1" applyAlignment="1"/>
    <xf numFmtId="0" fontId="22" fillId="0" borderId="0" xfId="0" applyFont="1" applyFill="1" applyBorder="1" applyAlignment="1">
      <alignment horizontal="center"/>
    </xf>
    <xf numFmtId="2" fontId="22" fillId="0" borderId="0" xfId="0" applyNumberFormat="1" applyFont="1" applyBorder="1" applyAlignment="1">
      <alignment horizontal="center"/>
    </xf>
    <xf numFmtId="166" fontId="25" fillId="0" borderId="0" xfId="1" applyNumberFormat="1" applyFont="1" applyFill="1" applyBorder="1" applyAlignment="1">
      <alignment horizontal="center"/>
    </xf>
    <xf numFmtId="166" fontId="25" fillId="0" borderId="13" xfId="1" applyNumberFormat="1" applyFont="1" applyFill="1" applyBorder="1" applyAlignment="1">
      <alignment horizontal="center"/>
    </xf>
    <xf numFmtId="166" fontId="25" fillId="0" borderId="0" xfId="1" applyNumberFormat="1" applyFont="1" applyBorder="1" applyAlignment="1">
      <alignment horizontal="center"/>
    </xf>
    <xf numFmtId="0" fontId="0" fillId="0" borderId="0" xfId="0" applyAlignment="1">
      <alignment horizontal="center"/>
    </xf>
    <xf numFmtId="166" fontId="22" fillId="0" borderId="19" xfId="1" applyNumberFormat="1" applyFont="1" applyFill="1" applyBorder="1" applyAlignment="1"/>
    <xf numFmtId="0" fontId="17" fillId="0" borderId="0" xfId="0" applyFont="1" applyFill="1" applyBorder="1" applyAlignment="1">
      <alignment textRotation="90" wrapText="1"/>
    </xf>
    <xf numFmtId="2" fontId="22" fillId="0" borderId="0" xfId="0" applyNumberFormat="1" applyFont="1" applyFill="1" applyBorder="1" applyAlignment="1"/>
    <xf numFmtId="2" fontId="26" fillId="0" borderId="0" xfId="0" applyNumberFormat="1" applyFont="1" applyFill="1" applyBorder="1" applyAlignment="1">
      <alignment horizontal="center"/>
    </xf>
    <xf numFmtId="2" fontId="22" fillId="0" borderId="15" xfId="0" applyNumberFormat="1" applyFont="1" applyFill="1" applyBorder="1" applyAlignment="1"/>
    <xf numFmtId="4" fontId="26" fillId="0" borderId="0" xfId="0" applyNumberFormat="1" applyFont="1" applyFill="1" applyBorder="1" applyAlignment="1">
      <alignment horizontal="center"/>
    </xf>
    <xf numFmtId="4" fontId="17" fillId="0" borderId="12" xfId="0" applyNumberFormat="1" applyFont="1" applyFill="1" applyBorder="1"/>
    <xf numFmtId="2" fontId="22" fillId="0" borderId="0" xfId="0" applyNumberFormat="1" applyFont="1" applyFill="1" applyBorder="1" applyAlignment="1">
      <alignment horizontal="center"/>
    </xf>
    <xf numFmtId="4" fontId="17" fillId="0" borderId="0" xfId="0" applyNumberFormat="1" applyFont="1" applyFill="1" applyBorder="1"/>
    <xf numFmtId="0" fontId="22" fillId="0" borderId="0" xfId="0" applyFont="1" applyFill="1" applyBorder="1"/>
    <xf numFmtId="0" fontId="17" fillId="0" borderId="0" xfId="0" applyFont="1" applyFill="1" applyBorder="1" applyAlignment="1">
      <alignment horizontal="right"/>
    </xf>
    <xf numFmtId="4" fontId="17" fillId="0" borderId="0" xfId="0" applyNumberFormat="1" applyFont="1" applyFill="1" applyBorder="1" applyAlignment="1">
      <alignment horizontal="right"/>
    </xf>
    <xf numFmtId="2" fontId="17" fillId="0" borderId="0" xfId="0" applyNumberFormat="1" applyFont="1" applyFill="1" applyBorder="1"/>
    <xf numFmtId="2" fontId="17" fillId="0" borderId="0" xfId="0" applyNumberFormat="1" applyFont="1" applyFill="1" applyBorder="1" applyAlignment="1">
      <alignment horizontal="right"/>
    </xf>
    <xf numFmtId="4" fontId="27" fillId="0" borderId="0" xfId="0" applyNumberFormat="1" applyFont="1" applyFill="1" applyBorder="1"/>
    <xf numFmtId="0" fontId="22" fillId="0" borderId="0" xfId="0" applyFont="1" applyBorder="1"/>
    <xf numFmtId="0" fontId="17" fillId="0" borderId="0" xfId="0" applyFont="1" applyFill="1" applyBorder="1" applyAlignment="1"/>
    <xf numFmtId="0" fontId="22" fillId="0" borderId="18" xfId="0" applyFont="1" applyBorder="1"/>
    <xf numFmtId="166" fontId="22" fillId="0" borderId="19" xfId="1" applyNumberFormat="1" applyFont="1" applyBorder="1" applyAlignment="1"/>
    <xf numFmtId="0" fontId="22" fillId="0" borderId="19" xfId="0" applyFont="1" applyBorder="1"/>
    <xf numFmtId="0" fontId="22" fillId="0" borderId="19" xfId="0" applyFont="1" applyFill="1" applyBorder="1"/>
    <xf numFmtId="0" fontId="22" fillId="0" borderId="26" xfId="0" applyFont="1" applyBorder="1" applyAlignment="1"/>
    <xf numFmtId="0" fontId="22" fillId="0" borderId="28" xfId="0" applyFont="1" applyBorder="1" applyAlignment="1">
      <alignment horizontal="center"/>
    </xf>
    <xf numFmtId="0" fontId="22" fillId="0" borderId="24" xfId="0" applyFont="1" applyFill="1" applyBorder="1"/>
    <xf numFmtId="0" fontId="22" fillId="0" borderId="29" xfId="0" applyFont="1" applyBorder="1" applyAlignment="1"/>
    <xf numFmtId="0" fontId="22" fillId="0" borderId="31" xfId="0" applyFont="1" applyBorder="1" applyAlignment="1">
      <alignment horizontal="center"/>
    </xf>
    <xf numFmtId="0" fontId="22" fillId="0" borderId="35" xfId="0" applyFont="1" applyBorder="1" applyAlignment="1"/>
    <xf numFmtId="0" fontId="22" fillId="0" borderId="23" xfId="0" applyFont="1" applyBorder="1" applyAlignment="1">
      <alignment horizontal="center"/>
    </xf>
    <xf numFmtId="166" fontId="22" fillId="0" borderId="24" xfId="1" applyNumberFormat="1" applyFont="1" applyBorder="1" applyAlignment="1"/>
    <xf numFmtId="0" fontId="22" fillId="0" borderId="38" xfId="0" applyFont="1" applyBorder="1"/>
    <xf numFmtId="166" fontId="22" fillId="0" borderId="39" xfId="1" applyNumberFormat="1" applyFont="1" applyFill="1" applyBorder="1" applyAlignment="1"/>
    <xf numFmtId="0" fontId="22" fillId="0" borderId="29" xfId="0" applyFont="1" applyBorder="1"/>
    <xf numFmtId="0" fontId="28" fillId="0" borderId="0" xfId="0" applyFont="1" applyFill="1" applyBorder="1"/>
    <xf numFmtId="0" fontId="22" fillId="0" borderId="35" xfId="0" applyFont="1" applyBorder="1"/>
    <xf numFmtId="0" fontId="22" fillId="0" borderId="0" xfId="0" applyFont="1" applyBorder="1" applyAlignment="1"/>
    <xf numFmtId="0" fontId="22" fillId="0" borderId="2" xfId="0" applyFont="1" applyFill="1" applyBorder="1"/>
    <xf numFmtId="166" fontId="17" fillId="0" borderId="4" xfId="1" applyNumberFormat="1" applyFont="1" applyBorder="1" applyAlignment="1">
      <alignment horizontal="right"/>
    </xf>
    <xf numFmtId="0" fontId="22" fillId="0" borderId="26" xfId="0" applyFont="1" applyBorder="1"/>
    <xf numFmtId="0" fontId="17" fillId="0" borderId="2" xfId="0" applyFont="1" applyBorder="1" applyAlignment="1"/>
    <xf numFmtId="0" fontId="17" fillId="0" borderId="3" xfId="0" applyFont="1" applyBorder="1" applyAlignment="1"/>
    <xf numFmtId="0" fontId="17" fillId="0" borderId="1" xfId="0" applyFont="1" applyBorder="1" applyAlignment="1"/>
    <xf numFmtId="2" fontId="17" fillId="0" borderId="0" xfId="2" applyNumberFormat="1" applyFont="1" applyFill="1" applyBorder="1" applyAlignment="1">
      <alignment vertical="center"/>
    </xf>
    <xf numFmtId="0" fontId="22" fillId="0" borderId="1" xfId="0" applyFont="1" applyBorder="1"/>
    <xf numFmtId="2" fontId="22" fillId="0" borderId="2" xfId="0" applyNumberFormat="1" applyFont="1" applyFill="1" applyBorder="1" applyAlignment="1">
      <alignment horizontal="center"/>
    </xf>
    <xf numFmtId="2" fontId="22" fillId="0" borderId="1" xfId="0" applyNumberFormat="1" applyFont="1" applyFill="1" applyBorder="1" applyAlignment="1">
      <alignment horizontal="center"/>
    </xf>
    <xf numFmtId="2" fontId="22" fillId="0" borderId="1" xfId="0" applyNumberFormat="1" applyFont="1" applyBorder="1"/>
    <xf numFmtId="2" fontId="22" fillId="0" borderId="1" xfId="0" applyNumberFormat="1" applyFont="1" applyFill="1" applyBorder="1" applyAlignment="1">
      <alignment horizontal="center" wrapText="1"/>
    </xf>
    <xf numFmtId="2" fontId="17" fillId="0" borderId="0" xfId="0" applyNumberFormat="1" applyFont="1" applyBorder="1" applyAlignment="1"/>
    <xf numFmtId="0" fontId="17" fillId="0" borderId="0" xfId="0" applyFont="1" applyBorder="1" applyAlignment="1"/>
    <xf numFmtId="0" fontId="22" fillId="0" borderId="2" xfId="0" applyFont="1" applyBorder="1" applyAlignment="1"/>
    <xf numFmtId="0" fontId="22" fillId="0" borderId="3" xfId="0" applyFont="1" applyBorder="1" applyAlignment="1"/>
    <xf numFmtId="0" fontId="22" fillId="0" borderId="4" xfId="0" applyFont="1" applyBorder="1" applyAlignment="1"/>
    <xf numFmtId="0" fontId="22" fillId="0" borderId="2" xfId="0" applyFont="1" applyBorder="1"/>
    <xf numFmtId="0" fontId="22" fillId="0" borderId="3" xfId="0" applyFont="1" applyBorder="1"/>
    <xf numFmtId="2" fontId="22" fillId="0" borderId="4" xfId="0" applyNumberFormat="1" applyFont="1" applyBorder="1"/>
    <xf numFmtId="2" fontId="22" fillId="0" borderId="0" xfId="0" applyNumberFormat="1" applyFont="1" applyBorder="1"/>
    <xf numFmtId="2" fontId="17" fillId="0" borderId="0" xfId="0" applyNumberFormat="1" applyFont="1" applyFill="1" applyBorder="1" applyAlignment="1">
      <alignment horizontal="left"/>
    </xf>
    <xf numFmtId="166" fontId="22" fillId="0" borderId="0" xfId="1" applyNumberFormat="1" applyFont="1" applyFill="1" applyBorder="1"/>
    <xf numFmtId="0" fontId="22" fillId="0" borderId="15" xfId="0" applyFont="1" applyBorder="1" applyAlignment="1"/>
    <xf numFmtId="0" fontId="22" fillId="0" borderId="1" xfId="0" applyFont="1" applyFill="1" applyBorder="1" applyAlignment="1"/>
    <xf numFmtId="0" fontId="22" fillId="0" borderId="2" xfId="0" applyFont="1" applyFill="1" applyBorder="1" applyAlignment="1">
      <alignment horizontal="center" wrapText="1"/>
    </xf>
    <xf numFmtId="166" fontId="17" fillId="0" borderId="15" xfId="1" applyNumberFormat="1" applyFont="1" applyFill="1" applyBorder="1" applyAlignment="1">
      <alignment wrapText="1"/>
    </xf>
    <xf numFmtId="0" fontId="17" fillId="0" borderId="2" xfId="0" applyFont="1" applyFill="1" applyBorder="1" applyAlignment="1">
      <alignment horizontal="center" wrapText="1"/>
    </xf>
    <xf numFmtId="0" fontId="17" fillId="0" borderId="15" xfId="0" applyFont="1" applyFill="1" applyBorder="1" applyAlignment="1"/>
    <xf numFmtId="166" fontId="17" fillId="0" borderId="0" xfId="1" applyNumberFormat="1" applyFont="1" applyFill="1" applyBorder="1" applyAlignment="1">
      <alignment wrapText="1"/>
    </xf>
    <xf numFmtId="0" fontId="22" fillId="0" borderId="4" xfId="0" applyFont="1" applyFill="1" applyBorder="1" applyAlignment="1">
      <alignment horizontal="center"/>
    </xf>
    <xf numFmtId="166" fontId="22" fillId="0" borderId="2" xfId="1" applyNumberFormat="1" applyFont="1" applyFill="1" applyBorder="1" applyAlignment="1"/>
    <xf numFmtId="0" fontId="22" fillId="0" borderId="1" xfId="0" applyFont="1" applyFill="1" applyBorder="1" applyAlignment="1">
      <alignment horizontal="center"/>
    </xf>
    <xf numFmtId="166" fontId="22" fillId="0" borderId="1" xfId="1" applyNumberFormat="1" applyFont="1" applyFill="1" applyBorder="1" applyAlignment="1"/>
    <xf numFmtId="0" fontId="22" fillId="0" borderId="0" xfId="0" applyFont="1" applyBorder="1" applyAlignment="1">
      <alignment wrapText="1"/>
    </xf>
    <xf numFmtId="0" fontId="22" fillId="0" borderId="0" xfId="0" applyFont="1" applyFill="1" applyBorder="1" applyAlignment="1"/>
    <xf numFmtId="166" fontId="22" fillId="0" borderId="0" xfId="0" applyNumberFormat="1" applyFont="1" applyBorder="1" applyAlignment="1"/>
    <xf numFmtId="2" fontId="22" fillId="0" borderId="0" xfId="0" applyNumberFormat="1" applyFont="1" applyBorder="1" applyAlignment="1"/>
    <xf numFmtId="2" fontId="22" fillId="0" borderId="4" xfId="0" applyNumberFormat="1" applyFont="1" applyFill="1" applyBorder="1" applyAlignment="1">
      <alignment horizontal="center"/>
    </xf>
    <xf numFmtId="2" fontId="22" fillId="0" borderId="4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2" fontId="22" fillId="0" borderId="1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5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2" fontId="22" fillId="0" borderId="1" xfId="0" applyNumberFormat="1" applyFont="1" applyBorder="1" applyAlignment="1"/>
    <xf numFmtId="4" fontId="22" fillId="0" borderId="1" xfId="0" applyNumberFormat="1" applyFont="1" applyBorder="1" applyAlignment="1">
      <alignment horizontal="center"/>
    </xf>
    <xf numFmtId="2" fontId="22" fillId="0" borderId="2" xfId="0" applyNumberFormat="1" applyFont="1" applyBorder="1" applyAlignment="1">
      <alignment horizontal="center"/>
    </xf>
    <xf numFmtId="4" fontId="22" fillId="0" borderId="1" xfId="0" applyNumberFormat="1" applyFont="1" applyFill="1" applyBorder="1" applyAlignment="1">
      <alignment vertical="center" wrapText="1"/>
    </xf>
    <xf numFmtId="166" fontId="22" fillId="0" borderId="1" xfId="1" applyNumberFormat="1" applyFont="1" applyFill="1" applyBorder="1"/>
    <xf numFmtId="165" fontId="22" fillId="0" borderId="1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166" fontId="17" fillId="0" borderId="0" xfId="0" applyNumberFormat="1" applyFont="1" applyFill="1" applyBorder="1" applyAlignment="1">
      <alignment horizontal="center"/>
    </xf>
    <xf numFmtId="166" fontId="17" fillId="0" borderId="12" xfId="0" applyNumberFormat="1" applyFont="1" applyBorder="1"/>
    <xf numFmtId="166" fontId="22" fillId="0" borderId="1" xfId="1" applyNumberFormat="1" applyFont="1" applyFill="1" applyBorder="1" applyAlignment="1">
      <alignment horizontal="center" wrapText="1"/>
    </xf>
    <xf numFmtId="4" fontId="22" fillId="0" borderId="0" xfId="0" applyNumberFormat="1" applyFont="1" applyBorder="1" applyAlignment="1">
      <alignment horizontal="center"/>
    </xf>
    <xf numFmtId="2" fontId="17" fillId="0" borderId="0" xfId="0" applyNumberFormat="1" applyFont="1" applyBorder="1" applyAlignment="1">
      <alignment horizontal="center"/>
    </xf>
    <xf numFmtId="2" fontId="22" fillId="0" borderId="2" xfId="0" applyNumberFormat="1" applyFont="1" applyBorder="1" applyAlignment="1"/>
    <xf numFmtId="0" fontId="22" fillId="0" borderId="6" xfId="0" applyFont="1" applyBorder="1" applyAlignment="1">
      <alignment horizontal="center"/>
    </xf>
    <xf numFmtId="0" fontId="22" fillId="0" borderId="6" xfId="0" applyFont="1" applyBorder="1"/>
    <xf numFmtId="165" fontId="22" fillId="0" borderId="2" xfId="0" applyNumberFormat="1" applyFont="1" applyBorder="1" applyAlignment="1">
      <alignment horizontal="center"/>
    </xf>
    <xf numFmtId="0" fontId="22" fillId="0" borderId="0" xfId="0" applyFont="1" applyBorder="1" applyAlignment="1">
      <alignment horizontal="right"/>
    </xf>
    <xf numFmtId="2" fontId="17" fillId="0" borderId="1" xfId="0" applyNumberFormat="1" applyFont="1" applyBorder="1"/>
    <xf numFmtId="0" fontId="17" fillId="0" borderId="10" xfId="0" applyFont="1" applyBorder="1" applyAlignment="1"/>
    <xf numFmtId="4" fontId="22" fillId="0" borderId="0" xfId="0" applyNumberFormat="1" applyFont="1" applyBorder="1"/>
    <xf numFmtId="2" fontId="17" fillId="0" borderId="0" xfId="0" applyNumberFormat="1" applyFont="1" applyBorder="1"/>
    <xf numFmtId="0" fontId="29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29" fillId="0" borderId="0" xfId="0" applyFont="1" applyBorder="1" applyAlignment="1"/>
    <xf numFmtId="0" fontId="10" fillId="0" borderId="0" xfId="0" applyFont="1" applyBorder="1"/>
    <xf numFmtId="0" fontId="29" fillId="0" borderId="0" xfId="0" applyFont="1" applyFill="1" applyBorder="1"/>
    <xf numFmtId="0" fontId="29" fillId="0" borderId="10" xfId="0" applyFont="1" applyBorder="1"/>
    <xf numFmtId="0" fontId="15" fillId="0" borderId="0" xfId="0" applyFont="1" applyBorder="1"/>
    <xf numFmtId="0" fontId="17" fillId="9" borderId="8" xfId="0" applyFont="1" applyFill="1" applyBorder="1"/>
    <xf numFmtId="0" fontId="29" fillId="9" borderId="10" xfId="0" applyFont="1" applyFill="1" applyBorder="1"/>
    <xf numFmtId="0" fontId="30" fillId="0" borderId="0" xfId="0" applyFont="1" applyBorder="1"/>
    <xf numFmtId="0" fontId="22" fillId="10" borderId="0" xfId="0" applyFont="1" applyFill="1" applyBorder="1" applyAlignment="1">
      <alignment horizontal="center" wrapText="1"/>
    </xf>
    <xf numFmtId="0" fontId="17" fillId="10" borderId="5" xfId="0" applyFont="1" applyFill="1" applyBorder="1" applyAlignment="1">
      <alignment horizontal="center" wrapText="1"/>
    </xf>
    <xf numFmtId="0" fontId="22" fillId="10" borderId="1" xfId="0" applyFont="1" applyFill="1" applyBorder="1" applyAlignment="1">
      <alignment horizontal="center" wrapText="1"/>
    </xf>
    <xf numFmtId="0" fontId="22" fillId="10" borderId="15" xfId="0" applyFont="1" applyFill="1" applyBorder="1" applyAlignment="1">
      <alignment horizontal="center" wrapText="1"/>
    </xf>
    <xf numFmtId="166" fontId="29" fillId="0" borderId="19" xfId="1" applyNumberFormat="1" applyFont="1" applyFill="1" applyBorder="1" applyAlignment="1"/>
    <xf numFmtId="166" fontId="29" fillId="0" borderId="5" xfId="1" applyNumberFormat="1" applyFont="1" applyFill="1" applyBorder="1" applyAlignment="1"/>
    <xf numFmtId="166" fontId="29" fillId="0" borderId="18" xfId="1" applyNumberFormat="1" applyFont="1" applyFill="1" applyBorder="1" applyAlignment="1"/>
    <xf numFmtId="166" fontId="29" fillId="0" borderId="18" xfId="1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22" fillId="12" borderId="0" xfId="0" applyFont="1" applyFill="1" applyBorder="1" applyAlignment="1">
      <alignment horizontal="center"/>
    </xf>
    <xf numFmtId="166" fontId="25" fillId="0" borderId="0" xfId="1" applyNumberFormat="1" applyFont="1" applyBorder="1"/>
    <xf numFmtId="166" fontId="26" fillId="0" borderId="0" xfId="1" applyNumberFormat="1" applyFont="1" applyBorder="1"/>
    <xf numFmtId="0" fontId="29" fillId="0" borderId="0" xfId="0" applyFont="1" applyBorder="1" applyAlignment="1">
      <alignment horizontal="center"/>
    </xf>
    <xf numFmtId="166" fontId="29" fillId="0" borderId="19" xfId="1" applyNumberFormat="1" applyFont="1" applyFill="1" applyBorder="1" applyAlignment="1">
      <alignment horizontal="center"/>
    </xf>
    <xf numFmtId="167" fontId="29" fillId="0" borderId="0" xfId="0" applyNumberFormat="1" applyFont="1" applyBorder="1" applyAlignment="1">
      <alignment horizontal="center"/>
    </xf>
    <xf numFmtId="166" fontId="29" fillId="0" borderId="24" xfId="1" applyNumberFormat="1" applyFont="1" applyFill="1" applyBorder="1" applyAlignment="1"/>
    <xf numFmtId="166" fontId="29" fillId="0" borderId="24" xfId="1" applyNumberFormat="1" applyFont="1" applyFill="1" applyBorder="1" applyAlignment="1">
      <alignment horizontal="center"/>
    </xf>
    <xf numFmtId="166" fontId="29" fillId="13" borderId="25" xfId="1" applyNumberFormat="1" applyFont="1" applyFill="1" applyBorder="1" applyAlignment="1"/>
    <xf numFmtId="166" fontId="29" fillId="13" borderId="5" xfId="1" applyNumberFormat="1" applyFont="1" applyFill="1" applyBorder="1" applyAlignment="1"/>
    <xf numFmtId="166" fontId="22" fillId="13" borderId="18" xfId="1" applyNumberFormat="1" applyFont="1" applyFill="1" applyBorder="1" applyAlignment="1"/>
    <xf numFmtId="166" fontId="29" fillId="13" borderId="18" xfId="1" applyNumberFormat="1" applyFont="1" applyFill="1" applyBorder="1" applyAlignment="1">
      <alignment horizontal="center"/>
    </xf>
    <xf numFmtId="166" fontId="29" fillId="13" borderId="19" xfId="1" applyNumberFormat="1" applyFont="1" applyFill="1" applyBorder="1" applyAlignment="1"/>
    <xf numFmtId="166" fontId="22" fillId="13" borderId="19" xfId="1" applyNumberFormat="1" applyFont="1" applyFill="1" applyBorder="1" applyAlignment="1"/>
    <xf numFmtId="166" fontId="29" fillId="13" borderId="19" xfId="1" applyNumberFormat="1" applyFont="1" applyFill="1" applyBorder="1" applyAlignment="1">
      <alignment horizontal="center"/>
    </xf>
    <xf numFmtId="166" fontId="29" fillId="13" borderId="24" xfId="1" applyNumberFormat="1" applyFont="1" applyFill="1" applyBorder="1" applyAlignment="1"/>
    <xf numFmtId="166" fontId="29" fillId="13" borderId="24" xfId="1" applyNumberFormat="1" applyFont="1" applyFill="1" applyBorder="1" applyAlignment="1">
      <alignment horizontal="center"/>
    </xf>
    <xf numFmtId="4" fontId="17" fillId="14" borderId="6" xfId="0" applyNumberFormat="1" applyFont="1" applyFill="1" applyBorder="1"/>
    <xf numFmtId="0" fontId="29" fillId="0" borderId="0" xfId="0" applyFont="1" applyBorder="1" applyAlignment="1">
      <alignment horizontal="right"/>
    </xf>
    <xf numFmtId="166" fontId="17" fillId="14" borderId="6" xfId="1" applyNumberFormat="1" applyFont="1" applyFill="1" applyBorder="1"/>
    <xf numFmtId="2" fontId="17" fillId="14" borderId="6" xfId="0" applyNumberFormat="1" applyFont="1" applyFill="1" applyBorder="1"/>
    <xf numFmtId="2" fontId="17" fillId="14" borderId="6" xfId="0" applyNumberFormat="1" applyFont="1" applyFill="1" applyBorder="1" applyAlignment="1">
      <alignment horizontal="right"/>
    </xf>
    <xf numFmtId="166" fontId="17" fillId="14" borderId="1" xfId="1" applyNumberFormat="1" applyFont="1" applyFill="1" applyBorder="1"/>
    <xf numFmtId="166" fontId="17" fillId="14" borderId="6" xfId="1" applyNumberFormat="1" applyFont="1" applyFill="1" applyBorder="1" applyAlignment="1">
      <alignment horizontal="right"/>
    </xf>
    <xf numFmtId="2" fontId="32" fillId="0" borderId="14" xfId="0" applyNumberFormat="1" applyFont="1" applyFill="1" applyBorder="1" applyAlignment="1">
      <alignment horizontal="right"/>
    </xf>
    <xf numFmtId="0" fontId="31" fillId="0" borderId="0" xfId="0" applyFont="1" applyFill="1" applyBorder="1" applyAlignment="1"/>
    <xf numFmtId="2" fontId="26" fillId="15" borderId="0" xfId="0" applyNumberFormat="1" applyFont="1" applyFill="1" applyBorder="1" applyAlignment="1">
      <alignment horizontal="center"/>
    </xf>
    <xf numFmtId="4" fontId="26" fillId="15" borderId="0" xfId="0" applyNumberFormat="1" applyFont="1" applyFill="1" applyBorder="1" applyAlignment="1">
      <alignment horizontal="center"/>
    </xf>
    <xf numFmtId="4" fontId="17" fillId="14" borderId="1" xfId="0" applyNumberFormat="1" applyFont="1" applyFill="1" applyBorder="1"/>
    <xf numFmtId="0" fontId="31" fillId="0" borderId="0" xfId="0" applyFont="1" applyBorder="1"/>
    <xf numFmtId="2" fontId="29" fillId="0" borderId="0" xfId="0" applyNumberFormat="1" applyFont="1" applyBorder="1" applyAlignment="1">
      <alignment horizontal="center"/>
    </xf>
    <xf numFmtId="4" fontId="33" fillId="0" borderId="0" xfId="0" applyNumberFormat="1" applyFont="1" applyFill="1" applyBorder="1"/>
    <xf numFmtId="0" fontId="34" fillId="0" borderId="0" xfId="0" applyFont="1" applyBorder="1" applyAlignment="1">
      <alignment textRotation="90"/>
    </xf>
    <xf numFmtId="0" fontId="13" fillId="0" borderId="0" xfId="0" applyFont="1" applyBorder="1" applyAlignment="1">
      <alignment horizontal="center"/>
    </xf>
    <xf numFmtId="0" fontId="22" fillId="17" borderId="1" xfId="0" applyFont="1" applyFill="1" applyBorder="1" applyAlignment="1">
      <alignment horizontal="center" wrapText="1"/>
    </xf>
    <xf numFmtId="165" fontId="29" fillId="0" borderId="18" xfId="0" applyNumberFormat="1" applyFont="1" applyBorder="1"/>
    <xf numFmtId="166" fontId="29" fillId="0" borderId="18" xfId="1" applyNumberFormat="1" applyFont="1" applyBorder="1" applyAlignment="1">
      <alignment horizontal="center"/>
    </xf>
    <xf numFmtId="166" fontId="29" fillId="0" borderId="18" xfId="1" applyNumberFormat="1" applyFont="1" applyBorder="1"/>
    <xf numFmtId="0" fontId="29" fillId="0" borderId="18" xfId="0" applyFont="1" applyBorder="1"/>
    <xf numFmtId="2" fontId="29" fillId="0" borderId="5" xfId="0" applyNumberFormat="1" applyFont="1" applyBorder="1"/>
    <xf numFmtId="166" fontId="29" fillId="0" borderId="19" xfId="1" applyNumberFormat="1" applyFont="1" applyBorder="1" applyAlignment="1">
      <alignment horizontal="center"/>
    </xf>
    <xf numFmtId="43" fontId="29" fillId="0" borderId="19" xfId="0" applyNumberFormat="1" applyFont="1" applyBorder="1"/>
    <xf numFmtId="166" fontId="29" fillId="0" borderId="19" xfId="1" applyNumberFormat="1" applyFont="1" applyBorder="1"/>
    <xf numFmtId="0" fontId="22" fillId="17" borderId="1" xfId="0" applyFont="1" applyFill="1" applyBorder="1" applyAlignment="1">
      <alignment horizontal="center"/>
    </xf>
    <xf numFmtId="2" fontId="35" fillId="0" borderId="0" xfId="0" applyNumberFormat="1" applyFont="1" applyFill="1" applyBorder="1" applyAlignment="1"/>
    <xf numFmtId="2" fontId="35" fillId="0" borderId="0" xfId="0" applyNumberFormat="1" applyFont="1" applyFill="1" applyBorder="1"/>
    <xf numFmtId="4" fontId="35" fillId="0" borderId="0" xfId="0" applyNumberFormat="1" applyFont="1" applyFill="1" applyBorder="1" applyAlignment="1"/>
    <xf numFmtId="166" fontId="35" fillId="0" borderId="0" xfId="0" applyNumberFormat="1" applyFont="1" applyBorder="1"/>
    <xf numFmtId="166" fontId="29" fillId="0" borderId="0" xfId="1" applyNumberFormat="1" applyFont="1" applyFill="1" applyBorder="1"/>
    <xf numFmtId="0" fontId="29" fillId="0" borderId="18" xfId="0" applyFont="1" applyBorder="1" applyAlignment="1">
      <alignment horizontal="center"/>
    </xf>
    <xf numFmtId="166" fontId="29" fillId="0" borderId="32" xfId="1" applyNumberFormat="1" applyFont="1" applyBorder="1"/>
    <xf numFmtId="166" fontId="29" fillId="0" borderId="28" xfId="1" applyNumberFormat="1" applyFont="1" applyBorder="1"/>
    <xf numFmtId="168" fontId="35" fillId="0" borderId="0" xfId="1" applyNumberFormat="1" applyFont="1" applyFill="1" applyBorder="1"/>
    <xf numFmtId="0" fontId="29" fillId="0" borderId="19" xfId="0" applyFont="1" applyBorder="1" applyAlignment="1">
      <alignment horizontal="center"/>
    </xf>
    <xf numFmtId="166" fontId="29" fillId="0" borderId="34" xfId="1" applyNumberFormat="1" applyFont="1" applyBorder="1"/>
    <xf numFmtId="166" fontId="29" fillId="0" borderId="31" xfId="1" applyNumberFormat="1" applyFont="1" applyBorder="1"/>
    <xf numFmtId="0" fontId="35" fillId="0" borderId="0" xfId="0" applyFont="1" applyBorder="1"/>
    <xf numFmtId="4" fontId="29" fillId="0" borderId="0" xfId="0" applyNumberFormat="1" applyFont="1" applyFill="1" applyBorder="1"/>
    <xf numFmtId="0" fontId="29" fillId="0" borderId="24" xfId="0" applyFont="1" applyBorder="1" applyAlignment="1">
      <alignment horizontal="center"/>
    </xf>
    <xf numFmtId="4" fontId="29" fillId="0" borderId="36" xfId="0" applyNumberFormat="1" applyFont="1" applyBorder="1"/>
    <xf numFmtId="4" fontId="29" fillId="0" borderId="23" xfId="0" applyNumberFormat="1" applyFont="1" applyBorder="1"/>
    <xf numFmtId="166" fontId="29" fillId="0" borderId="24" xfId="1" applyNumberFormat="1" applyFont="1" applyBorder="1" applyAlignment="1">
      <alignment horizontal="center"/>
    </xf>
    <xf numFmtId="43" fontId="29" fillId="0" borderId="24" xfId="0" applyNumberFormat="1" applyFont="1" applyBorder="1"/>
    <xf numFmtId="166" fontId="29" fillId="0" borderId="24" xfId="1" applyNumberFormat="1" applyFont="1" applyBorder="1"/>
    <xf numFmtId="165" fontId="29" fillId="10" borderId="6" xfId="0" applyNumberFormat="1" applyFont="1" applyFill="1" applyBorder="1"/>
    <xf numFmtId="166" fontId="22" fillId="10" borderId="6" xfId="1" applyNumberFormat="1" applyFont="1" applyFill="1" applyBorder="1"/>
    <xf numFmtId="166" fontId="29" fillId="10" borderId="1" xfId="1" applyNumberFormat="1" applyFont="1" applyFill="1" applyBorder="1"/>
    <xf numFmtId="2" fontId="29" fillId="10" borderId="6" xfId="0" applyNumberFormat="1" applyFont="1" applyFill="1" applyBorder="1"/>
    <xf numFmtId="4" fontId="29" fillId="0" borderId="25" xfId="0" applyNumberFormat="1" applyFont="1" applyBorder="1"/>
    <xf numFmtId="4" fontId="29" fillId="0" borderId="18" xfId="0" applyNumberFormat="1" applyFont="1" applyBorder="1" applyAlignment="1">
      <alignment horizontal="center"/>
    </xf>
    <xf numFmtId="9" fontId="29" fillId="0" borderId="18" xfId="0" applyNumberFormat="1" applyFont="1" applyBorder="1" applyAlignment="1">
      <alignment horizontal="center"/>
    </xf>
    <xf numFmtId="166" fontId="29" fillId="0" borderId="24" xfId="0" applyNumberFormat="1" applyFont="1" applyBorder="1"/>
    <xf numFmtId="9" fontId="29" fillId="0" borderId="24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166" fontId="29" fillId="0" borderId="0" xfId="0" applyNumberFormat="1" applyFont="1" applyBorder="1"/>
    <xf numFmtId="166" fontId="29" fillId="0" borderId="0" xfId="1" applyNumberFormat="1" applyFont="1" applyBorder="1" applyAlignment="1">
      <alignment horizontal="center"/>
    </xf>
    <xf numFmtId="9" fontId="29" fillId="0" borderId="0" xfId="0" applyNumberFormat="1" applyFont="1" applyBorder="1" applyAlignment="1">
      <alignment horizontal="center"/>
    </xf>
    <xf numFmtId="166" fontId="29" fillId="0" borderId="0" xfId="1" applyNumberFormat="1" applyFont="1" applyBorder="1"/>
    <xf numFmtId="4" fontId="29" fillId="0" borderId="30" xfId="0" applyNumberFormat="1" applyFont="1" applyBorder="1"/>
    <xf numFmtId="4" fontId="29" fillId="0" borderId="27" xfId="0" applyNumberFormat="1" applyFont="1" applyBorder="1" applyAlignment="1"/>
    <xf numFmtId="2" fontId="35" fillId="0" borderId="0" xfId="0" applyNumberFormat="1" applyFont="1" applyFill="1" applyBorder="1" applyAlignment="1">
      <alignment horizontal="center"/>
    </xf>
    <xf numFmtId="0" fontId="29" fillId="0" borderId="15" xfId="0" applyFont="1" applyBorder="1"/>
    <xf numFmtId="0" fontId="17" fillId="18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17" fillId="18" borderId="0" xfId="0" applyFont="1" applyFill="1" applyBorder="1" applyAlignment="1"/>
    <xf numFmtId="2" fontId="22" fillId="18" borderId="2" xfId="0" applyNumberFormat="1" applyFont="1" applyFill="1" applyBorder="1" applyAlignment="1">
      <alignment horizontal="center"/>
    </xf>
    <xf numFmtId="0" fontId="29" fillId="0" borderId="4" xfId="0" applyFont="1" applyBorder="1"/>
    <xf numFmtId="0" fontId="29" fillId="0" borderId="11" xfId="0" applyFont="1" applyBorder="1"/>
    <xf numFmtId="0" fontId="17" fillId="11" borderId="0" xfId="0" applyFont="1" applyFill="1" applyBorder="1" applyAlignment="1">
      <alignment horizontal="center" textRotation="90" wrapText="1"/>
    </xf>
    <xf numFmtId="0" fontId="22" fillId="13" borderId="0" xfId="0" applyFont="1" applyFill="1" applyBorder="1" applyAlignment="1">
      <alignment horizontal="center"/>
    </xf>
    <xf numFmtId="0" fontId="29" fillId="13" borderId="0" xfId="0" applyFont="1" applyFill="1" applyBorder="1" applyAlignment="1">
      <alignment horizontal="center"/>
    </xf>
    <xf numFmtId="2" fontId="29" fillId="13" borderId="11" xfId="0" applyNumberFormat="1" applyFont="1" applyFill="1" applyBorder="1" applyAlignment="1">
      <alignment horizontal="center"/>
    </xf>
    <xf numFmtId="2" fontId="29" fillId="13" borderId="0" xfId="0" applyNumberFormat="1" applyFont="1" applyFill="1" applyBorder="1" applyAlignment="1">
      <alignment horizontal="center" wrapText="1"/>
    </xf>
    <xf numFmtId="2" fontId="29" fillId="13" borderId="0" xfId="0" applyNumberFormat="1" applyFont="1" applyFill="1" applyBorder="1" applyAlignment="1">
      <alignment horizontal="center"/>
    </xf>
    <xf numFmtId="166" fontId="29" fillId="13" borderId="6" xfId="1" applyNumberFormat="1" applyFont="1" applyFill="1" applyBorder="1" applyAlignment="1"/>
    <xf numFmtId="166" fontId="22" fillId="13" borderId="6" xfId="1" applyNumberFormat="1" applyFont="1" applyFill="1" applyBorder="1" applyAlignment="1">
      <alignment horizontal="center"/>
    </xf>
    <xf numFmtId="168" fontId="29" fillId="13" borderId="6" xfId="1" applyNumberFormat="1" applyFont="1" applyFill="1" applyBorder="1" applyAlignment="1">
      <alignment horizontal="center"/>
    </xf>
    <xf numFmtId="4" fontId="22" fillId="13" borderId="6" xfId="0" applyNumberFormat="1" applyFont="1" applyFill="1" applyBorder="1" applyAlignment="1">
      <alignment horizontal="center"/>
    </xf>
    <xf numFmtId="166" fontId="22" fillId="13" borderId="14" xfId="1" applyNumberFormat="1" applyFont="1" applyFill="1" applyBorder="1" applyAlignment="1"/>
    <xf numFmtId="2" fontId="29" fillId="13" borderId="6" xfId="0" applyNumberFormat="1" applyFont="1" applyFill="1" applyBorder="1" applyAlignment="1">
      <alignment horizontal="center"/>
    </xf>
    <xf numFmtId="166" fontId="29" fillId="13" borderId="6" xfId="1" applyNumberFormat="1" applyFont="1" applyFill="1" applyBorder="1" applyAlignment="1">
      <alignment horizontal="center"/>
    </xf>
    <xf numFmtId="2" fontId="29" fillId="13" borderId="14" xfId="0" applyNumberFormat="1" applyFont="1" applyFill="1" applyBorder="1" applyAlignment="1">
      <alignment horizontal="center"/>
    </xf>
    <xf numFmtId="2" fontId="29" fillId="13" borderId="6" xfId="0" applyNumberFormat="1" applyFont="1" applyFill="1" applyBorder="1" applyAlignment="1">
      <alignment horizontal="right"/>
    </xf>
    <xf numFmtId="0" fontId="29" fillId="13" borderId="0" xfId="0" applyFont="1" applyFill="1" applyBorder="1" applyAlignment="1">
      <alignment horizontal="center" wrapText="1"/>
    </xf>
    <xf numFmtId="0" fontId="26" fillId="10" borderId="1" xfId="0" applyFont="1" applyFill="1" applyBorder="1" applyAlignment="1">
      <alignment horizontal="center" wrapText="1"/>
    </xf>
    <xf numFmtId="0" fontId="2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66" fontId="29" fillId="0" borderId="1" xfId="1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6" fontId="29" fillId="2" borderId="1" xfId="1" applyNumberFormat="1" applyFont="1" applyFill="1" applyBorder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0" fontId="17" fillId="19" borderId="5" xfId="0" applyFont="1" applyFill="1" applyBorder="1" applyAlignment="1">
      <alignment horizontal="center" wrapText="1"/>
    </xf>
    <xf numFmtId="0" fontId="22" fillId="19" borderId="1" xfId="0" applyFont="1" applyFill="1" applyBorder="1" applyAlignment="1">
      <alignment horizontal="center" wrapText="1"/>
    </xf>
    <xf numFmtId="2" fontId="4" fillId="0" borderId="0" xfId="0" applyNumberFormat="1" applyFont="1" applyBorder="1" applyAlignment="1"/>
    <xf numFmtId="165" fontId="0" fillId="0" borderId="1" xfId="0" applyNumberFormat="1" applyFont="1" applyBorder="1" applyAlignment="1">
      <alignment horizontal="center" vertical="center"/>
    </xf>
    <xf numFmtId="0" fontId="0" fillId="0" borderId="0" xfId="0" applyFont="1" applyBorder="1" applyAlignment="1"/>
    <xf numFmtId="2" fontId="4" fillId="0" borderId="1" xfId="0" applyNumberFormat="1" applyFont="1" applyBorder="1" applyAlignment="1">
      <alignment horizontal="center" vertical="center"/>
    </xf>
    <xf numFmtId="165" fontId="0" fillId="0" borderId="0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6" fontId="1" fillId="0" borderId="1" xfId="0" applyNumberFormat="1" applyFont="1" applyBorder="1"/>
    <xf numFmtId="169" fontId="1" fillId="0" borderId="1" xfId="0" applyNumberFormat="1" applyFont="1" applyBorder="1"/>
    <xf numFmtId="0" fontId="0" fillId="0" borderId="0" xfId="0" applyBorder="1" applyAlignment="1"/>
    <xf numFmtId="171" fontId="0" fillId="0" borderId="0" xfId="0" applyNumberFormat="1" applyFont="1" applyBorder="1" applyAlignment="1"/>
    <xf numFmtId="0" fontId="0" fillId="0" borderId="0" xfId="0" applyBorder="1" applyAlignment="1">
      <alignment horizontal="center"/>
    </xf>
    <xf numFmtId="165" fontId="0" fillId="0" borderId="0" xfId="0" applyNumberFormat="1" applyFont="1" applyAlignment="1">
      <alignment horizontal="center" vertical="center"/>
    </xf>
    <xf numFmtId="1" fontId="0" fillId="0" borderId="0" xfId="0" applyNumberFormat="1" applyFont="1" applyBorder="1" applyAlignment="1">
      <alignment horizontal="center"/>
    </xf>
    <xf numFmtId="172" fontId="0" fillId="0" borderId="0" xfId="1" applyNumberFormat="1" applyFont="1" applyBorder="1" applyAlignment="1">
      <alignment horizontal="center"/>
    </xf>
    <xf numFmtId="171" fontId="0" fillId="0" borderId="0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0" xfId="0" applyNumberFormat="1"/>
    <xf numFmtId="164" fontId="0" fillId="0" borderId="0" xfId="0" applyNumberFormat="1" applyAlignment="1"/>
    <xf numFmtId="173" fontId="0" fillId="0" borderId="0" xfId="0" applyNumberFormat="1" applyAlignment="1"/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0" xfId="0" applyNumberFormat="1" applyAlignment="1">
      <alignment horizontal="center"/>
    </xf>
    <xf numFmtId="0" fontId="0" fillId="0" borderId="0" xfId="0" applyBorder="1"/>
    <xf numFmtId="166" fontId="22" fillId="0" borderId="1" xfId="1" applyNumberFormat="1" applyFont="1" applyFill="1" applyBorder="1" applyAlignment="1">
      <alignment horizontal="center" vertical="center"/>
    </xf>
    <xf numFmtId="166" fontId="22" fillId="2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2" xfId="0" applyFont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0" borderId="2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164" fontId="0" fillId="4" borderId="1" xfId="0" applyNumberFormat="1" applyFont="1" applyFill="1" applyBorder="1" applyAlignment="1">
      <alignment horizontal="center"/>
    </xf>
    <xf numFmtId="2" fontId="0" fillId="4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right" vertical="center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0" fillId="2" borderId="8" xfId="0" applyFont="1" applyFill="1" applyBorder="1" applyAlignment="1">
      <alignment horizontal="center" wrapText="1"/>
    </xf>
    <xf numFmtId="0" fontId="0" fillId="2" borderId="9" xfId="0" applyFont="1" applyFill="1" applyBorder="1" applyAlignment="1">
      <alignment horizontal="center" wrapText="1"/>
    </xf>
    <xf numFmtId="0" fontId="0" fillId="2" borderId="10" xfId="0" applyFont="1" applyFill="1" applyBorder="1" applyAlignment="1">
      <alignment horizontal="center" wrapText="1"/>
    </xf>
    <xf numFmtId="0" fontId="0" fillId="2" borderId="11" xfId="0" applyFont="1" applyFill="1" applyBorder="1" applyAlignment="1">
      <alignment horizont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" xfId="0" applyFont="1" applyBorder="1" applyAlignment="1">
      <alignment horizontal="right"/>
    </xf>
    <xf numFmtId="164" fontId="0" fillId="0" borderId="2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0" fontId="0" fillId="0" borderId="2" xfId="0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164" fontId="0" fillId="4" borderId="2" xfId="0" applyNumberFormat="1" applyFont="1" applyFill="1" applyBorder="1" applyAlignment="1">
      <alignment horizontal="center"/>
    </xf>
    <xf numFmtId="164" fontId="0" fillId="4" borderId="4" xfId="0" applyNumberFormat="1" applyFont="1" applyFill="1" applyBorder="1" applyAlignment="1">
      <alignment horizontal="center"/>
    </xf>
    <xf numFmtId="2" fontId="0" fillId="4" borderId="2" xfId="0" applyNumberFormat="1" applyFont="1" applyFill="1" applyBorder="1" applyAlignment="1">
      <alignment horizontal="center"/>
    </xf>
    <xf numFmtId="2" fontId="0" fillId="4" borderId="4" xfId="0" applyNumberFormat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 wrapText="1"/>
    </xf>
    <xf numFmtId="0" fontId="0" fillId="2" borderId="6" xfId="0" applyFont="1" applyFill="1" applyBorder="1" applyAlignment="1">
      <alignment horizontal="center" wrapText="1"/>
    </xf>
    <xf numFmtId="0" fontId="0" fillId="2" borderId="10" xfId="0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6" borderId="6" xfId="0" applyFont="1" applyFill="1" applyBorder="1" applyAlignment="1">
      <alignment horizontal="center" wrapText="1"/>
    </xf>
    <xf numFmtId="0" fontId="0" fillId="6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7" borderId="2" xfId="0" applyFill="1" applyBorder="1" applyAlignment="1">
      <alignment horizontal="center" wrapText="1"/>
    </xf>
    <xf numFmtId="0" fontId="0" fillId="7" borderId="3" xfId="0" applyFont="1" applyFill="1" applyBorder="1" applyAlignment="1">
      <alignment horizontal="center" wrapText="1"/>
    </xf>
    <xf numFmtId="0" fontId="0" fillId="7" borderId="4" xfId="0" applyFont="1" applyFill="1" applyBorder="1" applyAlignment="1">
      <alignment horizontal="center" wrapText="1"/>
    </xf>
    <xf numFmtId="0" fontId="0" fillId="5" borderId="2" xfId="0" applyFill="1" applyBorder="1" applyAlignment="1">
      <alignment horizontal="center" wrapText="1"/>
    </xf>
    <xf numFmtId="0" fontId="0" fillId="5" borderId="3" xfId="0" applyFont="1" applyFill="1" applyBorder="1" applyAlignment="1">
      <alignment horizontal="center" wrapText="1"/>
    </xf>
    <xf numFmtId="0" fontId="0" fillId="5" borderId="4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left"/>
    </xf>
    <xf numFmtId="0" fontId="0" fillId="6" borderId="1" xfId="0" applyFont="1" applyFill="1" applyBorder="1" applyAlignment="1">
      <alignment horizontal="center" wrapText="1"/>
    </xf>
    <xf numFmtId="0" fontId="0" fillId="7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7" borderId="1" xfId="0" applyFill="1" applyBorder="1" applyAlignment="1">
      <alignment horizontal="center" wrapText="1"/>
    </xf>
    <xf numFmtId="0" fontId="0" fillId="7" borderId="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0" fillId="5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36" fillId="0" borderId="8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10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11" xfId="0" applyFont="1" applyBorder="1" applyAlignment="1">
      <alignment horizontal="center" vertical="center"/>
    </xf>
    <xf numFmtId="0" fontId="17" fillId="19" borderId="5" xfId="0" applyFont="1" applyFill="1" applyBorder="1" applyAlignment="1">
      <alignment horizontal="center" wrapText="1"/>
    </xf>
    <xf numFmtId="0" fontId="17" fillId="19" borderId="14" xfId="0" applyFont="1" applyFill="1" applyBorder="1" applyAlignment="1">
      <alignment horizontal="center" wrapText="1"/>
    </xf>
    <xf numFmtId="0" fontId="17" fillId="19" borderId="6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7" fillId="8" borderId="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17" fillId="19" borderId="5" xfId="0" applyFont="1" applyFill="1" applyBorder="1" applyAlignment="1">
      <alignment horizontal="center" vertical="center" wrapText="1"/>
    </xf>
    <xf numFmtId="0" fontId="17" fillId="19" borderId="14" xfId="0" applyFont="1" applyFill="1" applyBorder="1" applyAlignment="1">
      <alignment horizontal="center" vertical="center" wrapText="1"/>
    </xf>
    <xf numFmtId="0" fontId="17" fillId="19" borderId="6" xfId="0" applyFont="1" applyFill="1" applyBorder="1" applyAlignment="1">
      <alignment horizontal="center" vertical="center" wrapText="1"/>
    </xf>
    <xf numFmtId="0" fontId="17" fillId="19" borderId="8" xfId="0" applyFont="1" applyFill="1" applyBorder="1" applyAlignment="1">
      <alignment horizontal="center" wrapText="1"/>
    </xf>
    <xf numFmtId="0" fontId="17" fillId="19" borderId="9" xfId="0" applyFont="1" applyFill="1" applyBorder="1" applyAlignment="1">
      <alignment horizontal="center" wrapText="1"/>
    </xf>
    <xf numFmtId="0" fontId="17" fillId="19" borderId="15" xfId="0" applyFont="1" applyFill="1" applyBorder="1" applyAlignment="1">
      <alignment horizontal="center" wrapText="1"/>
    </xf>
    <xf numFmtId="0" fontId="17" fillId="19" borderId="13" xfId="0" applyFont="1" applyFill="1" applyBorder="1" applyAlignment="1">
      <alignment horizontal="center" wrapText="1"/>
    </xf>
    <xf numFmtId="0" fontId="17" fillId="1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2" fillId="19" borderId="5" xfId="0" applyFont="1" applyFill="1" applyBorder="1" applyAlignment="1">
      <alignment horizontal="center" vertical="center" wrapText="1"/>
    </xf>
    <xf numFmtId="0" fontId="22" fillId="19" borderId="14" xfId="0" applyFont="1" applyFill="1" applyBorder="1" applyAlignment="1">
      <alignment horizontal="center" vertical="center" wrapText="1"/>
    </xf>
    <xf numFmtId="0" fontId="22" fillId="19" borderId="6" xfId="0" applyFont="1" applyFill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/>
    </xf>
    <xf numFmtId="43" fontId="0" fillId="0" borderId="6" xfId="0" applyNumberFormat="1" applyBorder="1" applyAlignment="1">
      <alignment horizontal="center" vertical="center"/>
    </xf>
    <xf numFmtId="0" fontId="21" fillId="19" borderId="5" xfId="0" applyFont="1" applyFill="1" applyBorder="1" applyAlignment="1">
      <alignment horizontal="center" vertical="center" wrapText="1"/>
    </xf>
    <xf numFmtId="0" fontId="21" fillId="19" borderId="14" xfId="0" applyFont="1" applyFill="1" applyBorder="1" applyAlignment="1">
      <alignment horizontal="center" vertical="center" wrapText="1"/>
    </xf>
    <xf numFmtId="0" fontId="21" fillId="19" borderId="6" xfId="0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9" fontId="29" fillId="0" borderId="1" xfId="1" applyNumberFormat="1" applyFont="1" applyFill="1" applyBorder="1" applyAlignment="1">
      <alignment horizontal="center" vertical="center"/>
    </xf>
    <xf numFmtId="2" fontId="29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17" fillId="19" borderId="1" xfId="0" applyFont="1" applyFill="1" applyBorder="1" applyAlignment="1">
      <alignment horizontal="center" wrapText="1"/>
    </xf>
    <xf numFmtId="2" fontId="22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9" fontId="22" fillId="0" borderId="1" xfId="1" applyNumberFormat="1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43" fontId="5" fillId="2" borderId="5" xfId="0" applyNumberFormat="1" applyFont="1" applyFill="1" applyBorder="1" applyAlignment="1">
      <alignment horizontal="center" vertical="center"/>
    </xf>
    <xf numFmtId="43" fontId="5" fillId="2" borderId="6" xfId="0" applyNumberFormat="1" applyFont="1" applyFill="1" applyBorder="1" applyAlignment="1">
      <alignment horizontal="center" vertical="center"/>
    </xf>
    <xf numFmtId="43" fontId="5" fillId="0" borderId="5" xfId="0" applyNumberFormat="1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2" fontId="5" fillId="2" borderId="5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43" fontId="0" fillId="2" borderId="5" xfId="0" applyNumberFormat="1" applyFill="1" applyBorder="1" applyAlignment="1">
      <alignment horizontal="center" vertical="center"/>
    </xf>
    <xf numFmtId="43" fontId="0" fillId="2" borderId="6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169" fontId="29" fillId="2" borderId="1" xfId="1" applyNumberFormat="1" applyFont="1" applyFill="1" applyBorder="1" applyAlignment="1">
      <alignment horizontal="center" vertical="center"/>
    </xf>
    <xf numFmtId="169" fontId="22" fillId="2" borderId="1" xfId="1" applyNumberFormat="1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2" fontId="29" fillId="13" borderId="5" xfId="0" applyNumberFormat="1" applyFont="1" applyFill="1" applyBorder="1" applyAlignment="1">
      <alignment horizontal="center"/>
    </xf>
    <xf numFmtId="2" fontId="29" fillId="13" borderId="14" xfId="0" applyNumberFormat="1" applyFont="1" applyFill="1" applyBorder="1" applyAlignment="1">
      <alignment horizontal="center"/>
    </xf>
    <xf numFmtId="2" fontId="29" fillId="13" borderId="6" xfId="0" applyNumberFormat="1" applyFont="1" applyFill="1" applyBorder="1" applyAlignment="1">
      <alignment horizontal="center"/>
    </xf>
    <xf numFmtId="166" fontId="29" fillId="13" borderId="18" xfId="1" applyNumberFormat="1" applyFont="1" applyFill="1" applyBorder="1" applyAlignment="1">
      <alignment horizontal="center"/>
    </xf>
    <xf numFmtId="166" fontId="29" fillId="13" borderId="19" xfId="1" applyNumberFormat="1" applyFont="1" applyFill="1" applyBorder="1" applyAlignment="1">
      <alignment horizontal="center"/>
    </xf>
    <xf numFmtId="2" fontId="29" fillId="13" borderId="18" xfId="0" applyNumberFormat="1" applyFont="1" applyFill="1" applyBorder="1" applyAlignment="1">
      <alignment horizontal="center"/>
    </xf>
    <xf numFmtId="2" fontId="29" fillId="13" borderId="24" xfId="0" applyNumberFormat="1" applyFont="1" applyFill="1" applyBorder="1" applyAlignment="1">
      <alignment horizontal="center"/>
    </xf>
    <xf numFmtId="166" fontId="29" fillId="13" borderId="5" xfId="1" applyNumberFormat="1" applyFont="1" applyFill="1" applyBorder="1" applyAlignment="1">
      <alignment horizontal="center"/>
    </xf>
    <xf numFmtId="166" fontId="29" fillId="13" borderId="14" xfId="1" applyNumberFormat="1" applyFont="1" applyFill="1" applyBorder="1" applyAlignment="1">
      <alignment horizontal="center"/>
    </xf>
    <xf numFmtId="166" fontId="29" fillId="13" borderId="6" xfId="1" applyNumberFormat="1" applyFont="1" applyFill="1" applyBorder="1" applyAlignment="1">
      <alignment horizontal="center"/>
    </xf>
    <xf numFmtId="2" fontId="29" fillId="13" borderId="1" xfId="0" applyNumberFormat="1" applyFont="1" applyFill="1" applyBorder="1" applyAlignment="1">
      <alignment horizontal="right"/>
    </xf>
    <xf numFmtId="0" fontId="22" fillId="13" borderId="20" xfId="0" applyFont="1" applyFill="1" applyBorder="1" applyAlignment="1">
      <alignment horizontal="center"/>
    </xf>
    <xf numFmtId="0" fontId="22" fillId="13" borderId="22" xfId="0" applyFont="1" applyFill="1" applyBorder="1" applyAlignment="1">
      <alignment horizontal="center"/>
    </xf>
    <xf numFmtId="2" fontId="29" fillId="13" borderId="19" xfId="0" applyNumberFormat="1" applyFont="1" applyFill="1" applyBorder="1" applyAlignment="1">
      <alignment horizontal="center"/>
    </xf>
    <xf numFmtId="168" fontId="29" fillId="13" borderId="19" xfId="1" applyNumberFormat="1" applyFont="1" applyFill="1" applyBorder="1" applyAlignment="1">
      <alignment horizontal="center"/>
    </xf>
    <xf numFmtId="168" fontId="29" fillId="13" borderId="24" xfId="1" applyNumberFormat="1" applyFont="1" applyFill="1" applyBorder="1" applyAlignment="1">
      <alignment horizontal="center"/>
    </xf>
    <xf numFmtId="166" fontId="29" fillId="13" borderId="24" xfId="1" applyNumberFormat="1" applyFont="1" applyFill="1" applyBorder="1" applyAlignment="1">
      <alignment horizontal="center"/>
    </xf>
    <xf numFmtId="166" fontId="22" fillId="13" borderId="1" xfId="1" applyNumberFormat="1" applyFont="1" applyFill="1" applyBorder="1" applyAlignment="1">
      <alignment horizontal="center"/>
    </xf>
    <xf numFmtId="4" fontId="22" fillId="13" borderId="1" xfId="0" applyNumberFormat="1" applyFont="1" applyFill="1" applyBorder="1" applyAlignment="1">
      <alignment horizontal="center"/>
    </xf>
    <xf numFmtId="2" fontId="29" fillId="13" borderId="1" xfId="0" applyNumberFormat="1" applyFont="1" applyFill="1" applyBorder="1" applyAlignment="1">
      <alignment horizontal="center"/>
    </xf>
    <xf numFmtId="166" fontId="29" fillId="0" borderId="18" xfId="1" applyNumberFormat="1" applyFont="1" applyFill="1" applyBorder="1" applyAlignment="1">
      <alignment horizontal="center"/>
    </xf>
    <xf numFmtId="166" fontId="29" fillId="0" borderId="19" xfId="1" applyNumberFormat="1" applyFont="1" applyFill="1" applyBorder="1" applyAlignment="1">
      <alignment horizontal="center"/>
    </xf>
    <xf numFmtId="2" fontId="29" fillId="0" borderId="18" xfId="0" applyNumberFormat="1" applyFont="1" applyFill="1" applyBorder="1" applyAlignment="1">
      <alignment horizontal="center"/>
    </xf>
    <xf numFmtId="2" fontId="29" fillId="0" borderId="14" xfId="0" applyNumberFormat="1" applyFont="1" applyFill="1" applyBorder="1" applyAlignment="1">
      <alignment horizontal="center"/>
    </xf>
    <xf numFmtId="2" fontId="29" fillId="0" borderId="24" xfId="0" applyNumberFormat="1" applyFont="1" applyFill="1" applyBorder="1" applyAlignment="1">
      <alignment horizontal="center"/>
    </xf>
    <xf numFmtId="166" fontId="29" fillId="0" borderId="5" xfId="1" applyNumberFormat="1" applyFont="1" applyFill="1" applyBorder="1" applyAlignment="1">
      <alignment horizontal="center"/>
    </xf>
    <xf numFmtId="166" fontId="29" fillId="0" borderId="14" xfId="1" applyNumberFormat="1" applyFont="1" applyFill="1" applyBorder="1" applyAlignment="1">
      <alignment horizontal="center"/>
    </xf>
    <xf numFmtId="166" fontId="29" fillId="0" borderId="6" xfId="1" applyNumberFormat="1" applyFont="1" applyFill="1" applyBorder="1" applyAlignment="1">
      <alignment horizontal="center"/>
    </xf>
    <xf numFmtId="2" fontId="29" fillId="0" borderId="1" xfId="0" applyNumberFormat="1" applyFont="1" applyFill="1" applyBorder="1" applyAlignment="1">
      <alignment horizontal="right"/>
    </xf>
    <xf numFmtId="0" fontId="22" fillId="0" borderId="20" xfId="0" applyFont="1" applyFill="1" applyBorder="1" applyAlignment="1">
      <alignment horizontal="center"/>
    </xf>
    <xf numFmtId="0" fontId="22" fillId="0" borderId="22" xfId="0" applyFont="1" applyFill="1" applyBorder="1" applyAlignment="1">
      <alignment horizontal="center"/>
    </xf>
    <xf numFmtId="2" fontId="29" fillId="0" borderId="19" xfId="0" applyNumberFormat="1" applyFont="1" applyBorder="1" applyAlignment="1">
      <alignment horizontal="center"/>
    </xf>
    <xf numFmtId="2" fontId="29" fillId="0" borderId="24" xfId="0" applyNumberFormat="1" applyFont="1" applyBorder="1" applyAlignment="1">
      <alignment horizontal="center"/>
    </xf>
    <xf numFmtId="168" fontId="29" fillId="0" borderId="19" xfId="1" applyNumberFormat="1" applyFont="1" applyBorder="1" applyAlignment="1">
      <alignment horizontal="center"/>
    </xf>
    <xf numFmtId="168" fontId="29" fillId="0" borderId="24" xfId="1" applyNumberFormat="1" applyFont="1" applyBorder="1" applyAlignment="1">
      <alignment horizontal="center"/>
    </xf>
    <xf numFmtId="166" fontId="29" fillId="0" borderId="24" xfId="1" applyNumberFormat="1" applyFont="1" applyFill="1" applyBorder="1" applyAlignment="1">
      <alignment horizontal="center"/>
    </xf>
    <xf numFmtId="2" fontId="29" fillId="0" borderId="18" xfId="0" applyNumberFormat="1" applyFont="1" applyBorder="1" applyAlignment="1">
      <alignment horizontal="center"/>
    </xf>
    <xf numFmtId="166" fontId="22" fillId="0" borderId="1" xfId="1" applyNumberFormat="1" applyFont="1" applyBorder="1" applyAlignment="1">
      <alignment horizontal="center"/>
    </xf>
    <xf numFmtId="4" fontId="22" fillId="0" borderId="1" xfId="0" applyNumberFormat="1" applyFont="1" applyFill="1" applyBorder="1" applyAlignment="1">
      <alignment horizontal="center"/>
    </xf>
    <xf numFmtId="2" fontId="29" fillId="0" borderId="1" xfId="0" applyNumberFormat="1" applyFont="1" applyFill="1" applyBorder="1" applyAlignment="1">
      <alignment horizontal="center"/>
    </xf>
    <xf numFmtId="2" fontId="29" fillId="0" borderId="5" xfId="0" applyNumberFormat="1" applyFont="1" applyBorder="1" applyAlignment="1">
      <alignment horizontal="center"/>
    </xf>
    <xf numFmtId="2" fontId="29" fillId="0" borderId="14" xfId="0" applyNumberFormat="1" applyFont="1" applyBorder="1" applyAlignment="1">
      <alignment horizontal="center"/>
    </xf>
    <xf numFmtId="2" fontId="29" fillId="0" borderId="6" xfId="0" applyNumberFormat="1" applyFont="1" applyBorder="1" applyAlignment="1">
      <alignment horizontal="center"/>
    </xf>
    <xf numFmtId="0" fontId="17" fillId="11" borderId="5" xfId="0" applyFont="1" applyFill="1" applyBorder="1" applyAlignment="1">
      <alignment horizontal="center" textRotation="90" wrapText="1"/>
    </xf>
    <xf numFmtId="0" fontId="17" fillId="11" borderId="14" xfId="0" applyFont="1" applyFill="1" applyBorder="1" applyAlignment="1">
      <alignment horizontal="center" textRotation="90" wrapText="1"/>
    </xf>
    <xf numFmtId="0" fontId="17" fillId="11" borderId="6" xfId="0" applyFont="1" applyFill="1" applyBorder="1" applyAlignment="1">
      <alignment horizontal="center" textRotation="90" wrapText="1"/>
    </xf>
    <xf numFmtId="0" fontId="22" fillId="0" borderId="16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0" fontId="22" fillId="0" borderId="21" xfId="0" applyFont="1" applyFill="1" applyBorder="1" applyAlignment="1">
      <alignment horizontal="center"/>
    </xf>
    <xf numFmtId="0" fontId="29" fillId="0" borderId="23" xfId="0" applyFont="1" applyFill="1" applyBorder="1" applyAlignment="1">
      <alignment horizontal="center"/>
    </xf>
    <xf numFmtId="2" fontId="29" fillId="0" borderId="4" xfId="0" applyNumberFormat="1" applyFont="1" applyFill="1" applyBorder="1" applyAlignment="1">
      <alignment horizontal="center"/>
    </xf>
    <xf numFmtId="2" fontId="29" fillId="0" borderId="5" xfId="0" applyNumberFormat="1" applyFont="1" applyBorder="1" applyAlignment="1">
      <alignment horizontal="center" wrapText="1"/>
    </xf>
    <xf numFmtId="2" fontId="29" fillId="0" borderId="14" xfId="0" applyNumberFormat="1" applyFont="1" applyBorder="1" applyAlignment="1">
      <alignment horizontal="center" wrapText="1"/>
    </xf>
    <xf numFmtId="2" fontId="29" fillId="0" borderId="6" xfId="0" applyNumberFormat="1" applyFont="1" applyBorder="1" applyAlignment="1">
      <alignment horizontal="center" wrapText="1"/>
    </xf>
    <xf numFmtId="0" fontId="22" fillId="13" borderId="16" xfId="0" applyFont="1" applyFill="1" applyBorder="1" applyAlignment="1">
      <alignment horizontal="center"/>
    </xf>
    <xf numFmtId="0" fontId="22" fillId="13" borderId="17" xfId="0" applyFont="1" applyFill="1" applyBorder="1" applyAlignment="1">
      <alignment horizontal="center"/>
    </xf>
    <xf numFmtId="0" fontId="22" fillId="13" borderId="21" xfId="0" applyFont="1" applyFill="1" applyBorder="1" applyAlignment="1">
      <alignment horizontal="center"/>
    </xf>
    <xf numFmtId="0" fontId="29" fillId="13" borderId="23" xfId="0" applyFont="1" applyFill="1" applyBorder="1" applyAlignment="1">
      <alignment horizontal="center"/>
    </xf>
    <xf numFmtId="2" fontId="29" fillId="13" borderId="4" xfId="0" applyNumberFormat="1" applyFont="1" applyFill="1" applyBorder="1" applyAlignment="1">
      <alignment horizontal="center"/>
    </xf>
    <xf numFmtId="2" fontId="29" fillId="13" borderId="5" xfId="0" applyNumberFormat="1" applyFont="1" applyFill="1" applyBorder="1" applyAlignment="1">
      <alignment horizontal="center" wrapText="1"/>
    </xf>
    <xf numFmtId="2" fontId="29" fillId="13" borderId="14" xfId="0" applyNumberFormat="1" applyFont="1" applyFill="1" applyBorder="1" applyAlignment="1">
      <alignment horizontal="center" wrapText="1"/>
    </xf>
    <xf numFmtId="2" fontId="29" fillId="13" borderId="6" xfId="0" applyNumberFormat="1" applyFont="1" applyFill="1" applyBorder="1" applyAlignment="1">
      <alignment horizontal="center" wrapText="1"/>
    </xf>
    <xf numFmtId="165" fontId="22" fillId="0" borderId="2" xfId="0" applyNumberFormat="1" applyFont="1" applyBorder="1" applyAlignment="1">
      <alignment horizontal="center"/>
    </xf>
    <xf numFmtId="165" fontId="22" fillId="0" borderId="4" xfId="0" applyNumberFormat="1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4" fontId="22" fillId="0" borderId="1" xfId="0" applyNumberFormat="1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17" fillId="18" borderId="1" xfId="0" applyFont="1" applyFill="1" applyBorder="1" applyAlignment="1">
      <alignment horizontal="center"/>
    </xf>
    <xf numFmtId="2" fontId="22" fillId="0" borderId="2" xfId="0" applyNumberFormat="1" applyFont="1" applyFill="1" applyBorder="1" applyAlignment="1">
      <alignment horizontal="center"/>
    </xf>
    <xf numFmtId="2" fontId="22" fillId="0" borderId="4" xfId="0" applyNumberFormat="1" applyFont="1" applyFill="1" applyBorder="1" applyAlignment="1">
      <alignment horizontal="center"/>
    </xf>
    <xf numFmtId="4" fontId="22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2" fontId="17" fillId="0" borderId="0" xfId="0" applyNumberFormat="1" applyFont="1" applyBorder="1" applyAlignment="1">
      <alignment horizontal="center"/>
    </xf>
    <xf numFmtId="0" fontId="22" fillId="0" borderId="0" xfId="0" applyFont="1" applyBorder="1" applyAlignment="1">
      <alignment horizontal="center" wrapText="1"/>
    </xf>
    <xf numFmtId="2" fontId="22" fillId="0" borderId="2" xfId="0" applyNumberFormat="1" applyFont="1" applyBorder="1" applyAlignment="1">
      <alignment horizontal="center"/>
    </xf>
    <xf numFmtId="2" fontId="22" fillId="0" borderId="4" xfId="0" applyNumberFormat="1" applyFont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22" fillId="0" borderId="24" xfId="0" applyFont="1" applyBorder="1" applyAlignment="1">
      <alignment horizontal="left"/>
    </xf>
    <xf numFmtId="166" fontId="22" fillId="0" borderId="24" xfId="1" applyNumberFormat="1" applyFont="1" applyFill="1" applyBorder="1" applyAlignment="1">
      <alignment horizontal="center"/>
    </xf>
    <xf numFmtId="2" fontId="29" fillId="0" borderId="0" xfId="0" applyNumberFormat="1" applyFont="1" applyBorder="1" applyAlignment="1">
      <alignment horizontal="center"/>
    </xf>
    <xf numFmtId="0" fontId="22" fillId="0" borderId="1" xfId="0" applyFont="1" applyBorder="1" applyAlignment="1">
      <alignment horizontal="left"/>
    </xf>
    <xf numFmtId="0" fontId="22" fillId="17" borderId="1" xfId="0" applyFont="1" applyFill="1" applyBorder="1" applyAlignment="1">
      <alignment horizontal="left"/>
    </xf>
    <xf numFmtId="0" fontId="17" fillId="17" borderId="1" xfId="0" applyFont="1" applyFill="1" applyBorder="1" applyAlignment="1">
      <alignment horizontal="center"/>
    </xf>
    <xf numFmtId="0" fontId="22" fillId="0" borderId="8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22" fillId="0" borderId="15" xfId="0" applyFont="1" applyBorder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0" fontId="22" fillId="0" borderId="10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22" fillId="0" borderId="26" xfId="0" applyFont="1" applyBorder="1" applyAlignment="1">
      <alignment horizontal="left" wrapText="1"/>
    </xf>
    <xf numFmtId="0" fontId="22" fillId="0" borderId="27" xfId="0" applyFont="1" applyBorder="1" applyAlignment="1">
      <alignment horizontal="left" wrapText="1"/>
    </xf>
    <xf numFmtId="0" fontId="22" fillId="0" borderId="25" xfId="0" applyFont="1" applyBorder="1" applyAlignment="1">
      <alignment horizontal="left"/>
    </xf>
    <xf numFmtId="166" fontId="22" fillId="0" borderId="25" xfId="1" applyNumberFormat="1" applyFont="1" applyFill="1" applyBorder="1" applyAlignment="1">
      <alignment horizontal="center"/>
    </xf>
    <xf numFmtId="0" fontId="29" fillId="0" borderId="29" xfId="0" applyFont="1" applyBorder="1" applyAlignment="1">
      <alignment horizontal="center"/>
    </xf>
    <xf numFmtId="0" fontId="29" fillId="0" borderId="30" xfId="0" applyFont="1" applyBorder="1" applyAlignment="1">
      <alignment horizontal="center"/>
    </xf>
    <xf numFmtId="0" fontId="29" fillId="0" borderId="35" xfId="0" applyFont="1" applyBorder="1" applyAlignment="1">
      <alignment horizontal="center"/>
    </xf>
    <xf numFmtId="0" fontId="29" fillId="0" borderId="37" xfId="0" applyFont="1" applyBorder="1" applyAlignment="1">
      <alignment horizontal="center"/>
    </xf>
    <xf numFmtId="0" fontId="22" fillId="10" borderId="10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166" fontId="29" fillId="0" borderId="20" xfId="1" applyNumberFormat="1" applyFont="1" applyBorder="1" applyAlignment="1">
      <alignment horizontal="center"/>
    </xf>
    <xf numFmtId="166" fontId="29" fillId="0" borderId="31" xfId="1" applyNumberFormat="1" applyFont="1" applyBorder="1" applyAlignment="1">
      <alignment horizontal="center"/>
    </xf>
    <xf numFmtId="166" fontId="29" fillId="0" borderId="22" xfId="1" applyNumberFormat="1" applyFont="1" applyBorder="1" applyAlignment="1">
      <alignment horizontal="center"/>
    </xf>
    <xf numFmtId="166" fontId="29" fillId="0" borderId="33" xfId="1" applyNumberFormat="1" applyFont="1" applyBorder="1" applyAlignment="1">
      <alignment horizontal="center"/>
    </xf>
    <xf numFmtId="0" fontId="29" fillId="0" borderId="26" xfId="0" applyFont="1" applyBorder="1" applyAlignment="1">
      <alignment horizontal="center"/>
    </xf>
    <xf numFmtId="0" fontId="29" fillId="0" borderId="27" xfId="0" applyFont="1" applyBorder="1" applyAlignment="1">
      <alignment horizontal="center"/>
    </xf>
    <xf numFmtId="166" fontId="29" fillId="0" borderId="16" xfId="1" applyNumberFormat="1" applyFont="1" applyBorder="1" applyAlignment="1">
      <alignment horizontal="center"/>
    </xf>
    <xf numFmtId="166" fontId="29" fillId="0" borderId="28" xfId="1" applyNumberFormat="1" applyFont="1" applyBorder="1" applyAlignment="1">
      <alignment horizontal="center"/>
    </xf>
    <xf numFmtId="0" fontId="22" fillId="17" borderId="8" xfId="0" applyFont="1" applyFill="1" applyBorder="1" applyAlignment="1">
      <alignment horizontal="center"/>
    </xf>
    <xf numFmtId="0" fontId="22" fillId="17" borderId="9" xfId="0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/>
    </xf>
    <xf numFmtId="0" fontId="22" fillId="17" borderId="11" xfId="0" applyFont="1" applyFill="1" applyBorder="1" applyAlignment="1">
      <alignment horizontal="center"/>
    </xf>
    <xf numFmtId="0" fontId="22" fillId="17" borderId="1" xfId="0" applyFont="1" applyFill="1" applyBorder="1" applyAlignment="1">
      <alignment horizontal="center" wrapText="1"/>
    </xf>
    <xf numFmtId="0" fontId="29" fillId="17" borderId="1" xfId="0" applyFont="1" applyFill="1" applyBorder="1" applyAlignment="1">
      <alignment horizontal="center"/>
    </xf>
    <xf numFmtId="0" fontId="22" fillId="17" borderId="1" xfId="0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 wrapText="1"/>
    </xf>
    <xf numFmtId="2" fontId="22" fillId="0" borderId="0" xfId="0" applyNumberFormat="1" applyFont="1" applyFill="1" applyBorder="1" applyAlignment="1">
      <alignment horizontal="center"/>
    </xf>
    <xf numFmtId="0" fontId="13" fillId="16" borderId="2" xfId="0" applyFont="1" applyFill="1" applyBorder="1" applyAlignment="1">
      <alignment horizontal="center"/>
    </xf>
    <xf numFmtId="0" fontId="13" fillId="16" borderId="3" xfId="0" applyFont="1" applyFill="1" applyBorder="1" applyAlignment="1">
      <alignment horizontal="center"/>
    </xf>
    <xf numFmtId="0" fontId="13" fillId="16" borderId="4" xfId="0" applyFont="1" applyFill="1" applyBorder="1" applyAlignment="1">
      <alignment horizontal="center"/>
    </xf>
    <xf numFmtId="0" fontId="22" fillId="17" borderId="2" xfId="0" applyFont="1" applyFill="1" applyBorder="1" applyAlignment="1">
      <alignment horizontal="center"/>
    </xf>
    <xf numFmtId="0" fontId="22" fillId="17" borderId="4" xfId="0" applyFont="1" applyFill="1" applyBorder="1" applyAlignment="1">
      <alignment horizontal="center"/>
    </xf>
    <xf numFmtId="0" fontId="17" fillId="17" borderId="2" xfId="0" applyFont="1" applyFill="1" applyBorder="1" applyAlignment="1">
      <alignment horizontal="center" wrapText="1"/>
    </xf>
    <xf numFmtId="0" fontId="17" fillId="17" borderId="3" xfId="0" applyFont="1" applyFill="1" applyBorder="1" applyAlignment="1">
      <alignment horizontal="center"/>
    </xf>
    <xf numFmtId="0" fontId="17" fillId="17" borderId="4" xfId="0" applyFont="1" applyFill="1" applyBorder="1" applyAlignment="1">
      <alignment horizontal="center"/>
    </xf>
    <xf numFmtId="0" fontId="29" fillId="13" borderId="1" xfId="0" applyFont="1" applyFill="1" applyBorder="1" applyAlignment="1">
      <alignment horizontal="center" wrapText="1"/>
    </xf>
    <xf numFmtId="166" fontId="25" fillId="0" borderId="0" xfId="1" applyNumberFormat="1" applyFont="1" applyFill="1" applyBorder="1" applyAlignment="1">
      <alignment horizontal="center"/>
    </xf>
    <xf numFmtId="166" fontId="25" fillId="0" borderId="0" xfId="1" applyNumberFormat="1" applyFont="1" applyBorder="1" applyAlignment="1">
      <alignment horizontal="center"/>
    </xf>
    <xf numFmtId="2" fontId="29" fillId="0" borderId="40" xfId="0" applyNumberFormat="1" applyFont="1" applyBorder="1" applyAlignment="1">
      <alignment horizontal="center"/>
    </xf>
    <xf numFmtId="2" fontId="29" fillId="0" borderId="19" xfId="0" applyNumberFormat="1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7" fillId="10" borderId="5" xfId="0" applyFont="1" applyFill="1" applyBorder="1" applyAlignment="1">
      <alignment horizontal="center" wrapText="1"/>
    </xf>
    <xf numFmtId="0" fontId="27" fillId="10" borderId="6" xfId="0" applyFont="1" applyFill="1" applyBorder="1" applyAlignment="1">
      <alignment horizontal="center" wrapText="1"/>
    </xf>
    <xf numFmtId="0" fontId="17" fillId="10" borderId="5" xfId="0" applyFont="1" applyFill="1" applyBorder="1" applyAlignment="1">
      <alignment horizontal="center" wrapText="1"/>
    </xf>
    <xf numFmtId="0" fontId="17" fillId="10" borderId="14" xfId="0" applyFont="1" applyFill="1" applyBorder="1" applyAlignment="1">
      <alignment horizontal="center" wrapText="1"/>
    </xf>
    <xf numFmtId="0" fontId="29" fillId="0" borderId="14" xfId="0" applyFont="1" applyBorder="1"/>
    <xf numFmtId="0" fontId="29" fillId="0" borderId="6" xfId="0" applyFont="1" applyBorder="1"/>
    <xf numFmtId="0" fontId="17" fillId="10" borderId="6" xfId="0" applyFont="1" applyFill="1" applyBorder="1" applyAlignment="1">
      <alignment horizontal="center" wrapText="1"/>
    </xf>
    <xf numFmtId="2" fontId="29" fillId="0" borderId="25" xfId="0" applyNumberFormat="1" applyFont="1" applyBorder="1" applyAlignment="1">
      <alignment horizontal="center"/>
    </xf>
    <xf numFmtId="0" fontId="29" fillId="0" borderId="0" xfId="0" applyFont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17" fillId="10" borderId="1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0" borderId="3" xfId="0" applyFont="1" applyFill="1" applyBorder="1" applyAlignment="1">
      <alignment horizontal="center" wrapText="1"/>
    </xf>
    <xf numFmtId="0" fontId="22" fillId="0" borderId="4" xfId="0" applyFont="1" applyFill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9" borderId="12" xfId="0" applyFont="1" applyFill="1" applyBorder="1" applyAlignment="1">
      <alignment horizontal="center"/>
    </xf>
    <xf numFmtId="0" fontId="12" fillId="9" borderId="9" xfId="0" applyFont="1" applyFill="1" applyBorder="1" applyAlignment="1">
      <alignment horizontal="center"/>
    </xf>
    <xf numFmtId="0" fontId="12" fillId="9" borderId="7" xfId="0" applyFont="1" applyFill="1" applyBorder="1" applyAlignment="1">
      <alignment horizontal="center"/>
    </xf>
    <xf numFmtId="0" fontId="12" fillId="9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7" fillId="10" borderId="6" xfId="0" applyFont="1" applyFill="1" applyBorder="1" applyAlignment="1">
      <alignment horizontal="center"/>
    </xf>
    <xf numFmtId="0" fontId="17" fillId="10" borderId="8" xfId="0" applyFont="1" applyFill="1" applyBorder="1" applyAlignment="1">
      <alignment horizontal="center" wrapText="1"/>
    </xf>
    <xf numFmtId="0" fontId="17" fillId="10" borderId="9" xfId="0" applyFont="1" applyFill="1" applyBorder="1" applyAlignment="1">
      <alignment horizontal="center" wrapText="1"/>
    </xf>
    <xf numFmtId="0" fontId="17" fillId="10" borderId="15" xfId="0" applyFont="1" applyFill="1" applyBorder="1" applyAlignment="1">
      <alignment horizontal="center" wrapText="1"/>
    </xf>
    <xf numFmtId="0" fontId="17" fillId="10" borderId="13" xfId="0" applyFont="1" applyFill="1" applyBorder="1" applyAlignment="1">
      <alignment horizontal="center" wrapText="1"/>
    </xf>
    <xf numFmtId="0" fontId="17" fillId="10" borderId="10" xfId="0" applyFont="1" applyFill="1" applyBorder="1" applyAlignment="1">
      <alignment horizontal="center" wrapText="1"/>
    </xf>
    <xf numFmtId="0" fontId="17" fillId="10" borderId="11" xfId="0" applyFont="1" applyFill="1" applyBorder="1" applyAlignment="1">
      <alignment horizontal="center" wrapText="1"/>
    </xf>
    <xf numFmtId="0" fontId="20" fillId="10" borderId="5" xfId="0" applyFont="1" applyFill="1" applyBorder="1" applyAlignment="1">
      <alignment horizontal="center" wrapText="1"/>
    </xf>
    <xf numFmtId="0" fontId="20" fillId="10" borderId="14" xfId="0" applyFont="1" applyFill="1" applyBorder="1" applyAlignment="1">
      <alignment horizontal="center" wrapText="1"/>
    </xf>
    <xf numFmtId="0" fontId="20" fillId="10" borderId="6" xfId="0" applyFont="1" applyFill="1" applyBorder="1" applyAlignment="1">
      <alignment horizontal="center" wrapText="1"/>
    </xf>
    <xf numFmtId="0" fontId="16" fillId="10" borderId="5" xfId="0" applyFont="1" applyFill="1" applyBorder="1" applyAlignment="1">
      <alignment horizontal="center" wrapText="1"/>
    </xf>
    <xf numFmtId="0" fontId="16" fillId="10" borderId="6" xfId="0" applyFont="1" applyFill="1" applyBorder="1" applyAlignment="1">
      <alignment horizontal="center" wrapText="1"/>
    </xf>
    <xf numFmtId="0" fontId="21" fillId="10" borderId="5" xfId="0" applyFont="1" applyFill="1" applyBorder="1" applyAlignment="1">
      <alignment horizontal="center" wrapText="1"/>
    </xf>
    <xf numFmtId="0" fontId="21" fillId="10" borderId="14" xfId="0" applyFont="1" applyFill="1" applyBorder="1" applyAlignment="1">
      <alignment horizontal="center" wrapText="1"/>
    </xf>
    <xf numFmtId="0" fontId="21" fillId="10" borderId="6" xfId="0" applyFont="1" applyFill="1" applyBorder="1" applyAlignment="1">
      <alignment horizontal="center" wrapText="1"/>
    </xf>
    <xf numFmtId="0" fontId="17" fillId="0" borderId="8" xfId="0" applyFont="1" applyFill="1" applyBorder="1"/>
    <xf numFmtId="0" fontId="37" fillId="0" borderId="8" xfId="0" applyFont="1" applyFill="1" applyBorder="1" applyAlignment="1">
      <alignment horizontal="center" wrapText="1"/>
    </xf>
    <xf numFmtId="0" fontId="37" fillId="0" borderId="12" xfId="0" applyFont="1" applyFill="1" applyBorder="1" applyAlignment="1">
      <alignment horizontal="center" wrapText="1"/>
    </xf>
    <xf numFmtId="0" fontId="37" fillId="0" borderId="9" xfId="0" applyFont="1" applyFill="1" applyBorder="1" applyAlignment="1">
      <alignment horizontal="center" wrapText="1"/>
    </xf>
    <xf numFmtId="0" fontId="29" fillId="0" borderId="10" xfId="0" applyFont="1" applyFill="1" applyBorder="1"/>
    <xf numFmtId="0" fontId="37" fillId="0" borderId="10" xfId="0" applyFont="1" applyFill="1" applyBorder="1" applyAlignment="1">
      <alignment horizontal="center" wrapText="1"/>
    </xf>
    <xf numFmtId="0" fontId="37" fillId="0" borderId="7" xfId="0" applyFont="1" applyFill="1" applyBorder="1" applyAlignment="1">
      <alignment horizontal="center" wrapText="1"/>
    </xf>
    <xf numFmtId="0" fontId="37" fillId="0" borderId="11" xfId="0" applyFont="1" applyFill="1" applyBorder="1" applyAlignment="1">
      <alignment horizontal="center" wrapText="1"/>
    </xf>
    <xf numFmtId="0" fontId="8" fillId="0" borderId="0" xfId="3" applyFont="1" applyBorder="1" applyAlignment="1" applyProtection="1">
      <alignment horizontal="center" vertical="center"/>
    </xf>
    <xf numFmtId="0" fontId="38" fillId="0" borderId="0" xfId="3" applyFont="1" applyBorder="1" applyAlignment="1" applyProtection="1">
      <alignment horizontal="center" vertical="center"/>
    </xf>
    <xf numFmtId="0" fontId="8" fillId="0" borderId="0" xfId="4" applyFont="1" applyBorder="1" applyAlignment="1" applyProtection="1">
      <alignment horizontal="right" vertical="top"/>
    </xf>
    <xf numFmtId="0" fontId="38" fillId="0" borderId="0" xfId="0" applyFont="1" applyAlignment="1">
      <alignment horizontal="left"/>
    </xf>
  </cellXfs>
  <cellStyles count="5">
    <cellStyle name="Normal" xfId="0" builtinId="0"/>
    <cellStyle name="Normal 2" xfId="3"/>
    <cellStyle name="Normal_FICHA DE VERIFICAÇÃO PRELIMINAR - Plano R" xfId="4"/>
    <cellStyle name="Porcentagem" xfId="2" builtinId="5"/>
    <cellStyle name="Separador de milhares" xfId="1" builtinId="3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592930</xdr:colOff>
      <xdr:row>0</xdr:row>
      <xdr:rowOff>50006</xdr:rowOff>
    </xdr:from>
    <xdr:to>
      <xdr:col>3</xdr:col>
      <xdr:colOff>243416</xdr:colOff>
      <xdr:row>3</xdr:row>
      <xdr:rowOff>133234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06763" y="50006"/>
          <a:ext cx="782903" cy="6653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</xdr:colOff>
      <xdr:row>0</xdr:row>
      <xdr:rowOff>50006</xdr:rowOff>
    </xdr:from>
    <xdr:to>
      <xdr:col>1</xdr:col>
      <xdr:colOff>392906</xdr:colOff>
      <xdr:row>2</xdr:row>
      <xdr:rowOff>116681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31" y="50006"/>
          <a:ext cx="788194" cy="6262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oleObject" Target="../embeddings/oleObject1.bin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78"/>
  <sheetViews>
    <sheetView topLeftCell="P16" zoomScale="70" zoomScaleNormal="70" workbookViewId="0">
      <selection activeCell="Q15" sqref="Q15"/>
    </sheetView>
  </sheetViews>
  <sheetFormatPr defaultRowHeight="15"/>
  <cols>
    <col min="1" max="3" width="9.140625" style="4"/>
    <col min="4" max="4" width="7" style="4" bestFit="1" customWidth="1"/>
    <col min="5" max="5" width="15.5703125" style="4" bestFit="1" customWidth="1"/>
    <col min="6" max="7" width="10.7109375" style="4" customWidth="1"/>
    <col min="8" max="8" width="7.85546875" style="4" customWidth="1"/>
    <col min="9" max="9" width="9.140625" style="5"/>
    <col min="10" max="10" width="8.5703125" style="4" customWidth="1"/>
    <col min="11" max="11" width="9.5703125" style="5" bestFit="1" customWidth="1"/>
    <col min="12" max="12" width="9.140625" style="6"/>
    <col min="13" max="13" width="10.140625" style="6" customWidth="1"/>
    <col min="14" max="15" width="9.140625" style="6"/>
    <col min="16" max="21" width="9.140625" style="5"/>
    <col min="22" max="22" width="11" style="5" bestFit="1" customWidth="1"/>
    <col min="23" max="31" width="9.140625" style="5"/>
    <col min="32" max="33" width="9.140625" style="7"/>
    <col min="34" max="34" width="21.85546875" style="6" customWidth="1"/>
    <col min="35" max="35" width="9.140625" style="303"/>
    <col min="36" max="36" width="12.42578125" style="5" bestFit="1" customWidth="1"/>
    <col min="37" max="16384" width="9.140625" style="5"/>
  </cols>
  <sheetData>
    <row r="1" spans="1:45" ht="15.75">
      <c r="A1"/>
      <c r="B1"/>
      <c r="C1" s="2" t="s">
        <v>1</v>
      </c>
      <c r="D1"/>
      <c r="E1"/>
      <c r="F1"/>
      <c r="G1"/>
      <c r="H1"/>
      <c r="I1"/>
      <c r="J1"/>
      <c r="K1"/>
      <c r="L1"/>
    </row>
    <row r="2" spans="1:45">
      <c r="A2"/>
      <c r="B2"/>
      <c r="C2" s="3" t="s">
        <v>55</v>
      </c>
      <c r="D2"/>
      <c r="E2"/>
      <c r="F2"/>
      <c r="G2"/>
      <c r="H2"/>
      <c r="I2"/>
      <c r="J2"/>
      <c r="K2"/>
      <c r="L2"/>
    </row>
    <row r="3" spans="1:45">
      <c r="A3"/>
      <c r="B3"/>
      <c r="C3"/>
      <c r="D3"/>
      <c r="E3"/>
      <c r="F3"/>
      <c r="G3"/>
      <c r="H3"/>
      <c r="I3"/>
      <c r="J3"/>
      <c r="K3"/>
      <c r="L3"/>
    </row>
    <row r="4" spans="1:45">
      <c r="A4" s="1" t="s">
        <v>2</v>
      </c>
      <c r="B4"/>
      <c r="C4"/>
      <c r="D4"/>
      <c r="E4"/>
      <c r="F4"/>
      <c r="G4"/>
      <c r="H4"/>
      <c r="I4"/>
      <c r="J4"/>
      <c r="K4"/>
      <c r="L4" s="1" t="s">
        <v>3</v>
      </c>
    </row>
    <row r="5" spans="1:45">
      <c r="A5" s="1" t="s">
        <v>5</v>
      </c>
      <c r="B5"/>
      <c r="C5"/>
      <c r="D5"/>
      <c r="E5"/>
      <c r="F5"/>
      <c r="G5"/>
      <c r="H5"/>
      <c r="I5"/>
      <c r="J5"/>
      <c r="K5"/>
      <c r="L5" s="1" t="s">
        <v>4</v>
      </c>
    </row>
    <row r="6" spans="1:45">
      <c r="A6" s="16"/>
      <c r="B6" s="332" t="s">
        <v>20</v>
      </c>
      <c r="C6" s="332"/>
      <c r="D6" s="332"/>
      <c r="E6" s="332"/>
      <c r="P6" s="332" t="s">
        <v>20</v>
      </c>
      <c r="Q6" s="332"/>
      <c r="R6" s="332"/>
      <c r="S6" s="332"/>
      <c r="T6" s="4"/>
      <c r="U6" s="4"/>
      <c r="V6" s="4"/>
      <c r="Y6" s="389" t="s">
        <v>20</v>
      </c>
      <c r="Z6" s="389"/>
      <c r="AA6" s="389"/>
      <c r="AB6" s="389"/>
    </row>
    <row r="7" spans="1:45" s="10" customFormat="1" ht="30">
      <c r="A7" s="16"/>
      <c r="B7" s="8" t="s">
        <v>15</v>
      </c>
      <c r="C7" s="9" t="s">
        <v>33</v>
      </c>
      <c r="D7" s="8" t="s">
        <v>16</v>
      </c>
      <c r="E7" s="9" t="s">
        <v>17</v>
      </c>
      <c r="F7" s="9" t="s">
        <v>18</v>
      </c>
      <c r="G7" s="9" t="s">
        <v>19</v>
      </c>
      <c r="I7" s="9" t="s">
        <v>32</v>
      </c>
      <c r="K7" s="8" t="s">
        <v>34</v>
      </c>
      <c r="L7" s="9" t="s">
        <v>36</v>
      </c>
      <c r="M7" s="9" t="s">
        <v>32</v>
      </c>
      <c r="N7" s="9" t="s">
        <v>35</v>
      </c>
      <c r="P7" s="347" t="s">
        <v>6</v>
      </c>
      <c r="Q7" s="347"/>
      <c r="R7" s="347"/>
      <c r="S7" s="347"/>
      <c r="T7" s="347"/>
      <c r="U7" s="347"/>
      <c r="V7" s="347"/>
      <c r="W7" s="347"/>
      <c r="Y7" s="379" t="s">
        <v>50</v>
      </c>
      <c r="Z7" s="380"/>
      <c r="AA7" s="380"/>
      <c r="AB7" s="380"/>
      <c r="AC7" s="380"/>
      <c r="AD7" s="380"/>
      <c r="AE7" s="380"/>
      <c r="AF7" s="380"/>
      <c r="AG7" s="380"/>
      <c r="AH7" s="381"/>
      <c r="AI7" s="303"/>
      <c r="AJ7" s="5"/>
      <c r="AK7" s="5"/>
      <c r="AL7" s="5"/>
      <c r="AM7" s="5"/>
      <c r="AN7" s="5"/>
      <c r="AO7" s="5"/>
      <c r="AP7" s="5"/>
    </row>
    <row r="8" spans="1:45" s="4" customFormat="1" ht="15" customHeight="1">
      <c r="A8" s="16"/>
      <c r="B8" s="11" t="s">
        <v>21</v>
      </c>
      <c r="C8" s="11">
        <v>10</v>
      </c>
      <c r="D8" s="12">
        <v>13</v>
      </c>
      <c r="E8" s="12">
        <v>185</v>
      </c>
      <c r="F8" s="12">
        <f>E8*D8</f>
        <v>2405</v>
      </c>
      <c r="G8" s="13">
        <f>F8*I8/100</f>
        <v>14.838850000000001</v>
      </c>
      <c r="I8" s="11">
        <f>IF(C8=8,0.395,0.617)</f>
        <v>0.61699999999999999</v>
      </c>
      <c r="K8" s="14">
        <v>10</v>
      </c>
      <c r="L8" s="15">
        <f>(F8+F9+F10+F11)/100</f>
        <v>104.72</v>
      </c>
      <c r="M8" s="14">
        <v>0.61699999999999999</v>
      </c>
      <c r="N8" s="15">
        <f>L8*M8*1.1</f>
        <v>71.073464000000001</v>
      </c>
      <c r="P8" s="339"/>
      <c r="Q8" s="340" t="s">
        <v>48</v>
      </c>
      <c r="R8" s="340" t="s">
        <v>0</v>
      </c>
      <c r="S8" s="345" t="s">
        <v>38</v>
      </c>
      <c r="T8" s="341" t="s">
        <v>7</v>
      </c>
      <c r="U8" s="342"/>
      <c r="V8" s="341" t="s">
        <v>8</v>
      </c>
      <c r="W8" s="342"/>
      <c r="Y8" s="373" t="s">
        <v>9</v>
      </c>
      <c r="Z8" s="393" t="s">
        <v>11</v>
      </c>
      <c r="AA8" s="367"/>
      <c r="AB8" s="393" t="s">
        <v>12</v>
      </c>
      <c r="AC8" s="367"/>
      <c r="AD8" s="393" t="s">
        <v>13</v>
      </c>
      <c r="AE8" s="367"/>
      <c r="AF8" s="366" t="s">
        <v>225</v>
      </c>
      <c r="AG8" s="367"/>
      <c r="AH8" s="296" t="s">
        <v>222</v>
      </c>
      <c r="AI8" s="303"/>
      <c r="AJ8" s="5"/>
      <c r="AK8" s="5"/>
      <c r="AL8" s="5"/>
      <c r="AM8" s="5"/>
      <c r="AN8" s="5"/>
      <c r="AO8" s="5"/>
      <c r="AP8" s="5"/>
    </row>
    <row r="9" spans="1:45" s="4" customFormat="1">
      <c r="A9" s="16"/>
      <c r="B9" s="11" t="s">
        <v>22</v>
      </c>
      <c r="C9" s="11">
        <v>10</v>
      </c>
      <c r="D9" s="12">
        <v>11</v>
      </c>
      <c r="E9" s="12">
        <v>210</v>
      </c>
      <c r="F9" s="11">
        <f>E9*D9</f>
        <v>2310</v>
      </c>
      <c r="G9" s="13">
        <f>F9*I9/100</f>
        <v>14.252699999999999</v>
      </c>
      <c r="I9" s="11">
        <f>IF(C9=8,0.395,0.617)</f>
        <v>0.61699999999999999</v>
      </c>
      <c r="K9" s="338" t="s">
        <v>37</v>
      </c>
      <c r="L9" s="338"/>
      <c r="M9" s="338"/>
      <c r="N9" s="15">
        <f>SUM(N7:N8)</f>
        <v>71.073464000000001</v>
      </c>
      <c r="P9" s="339"/>
      <c r="Q9" s="339"/>
      <c r="R9" s="339"/>
      <c r="S9" s="346"/>
      <c r="T9" s="343"/>
      <c r="U9" s="344"/>
      <c r="V9" s="343"/>
      <c r="W9" s="344"/>
      <c r="Y9" s="374"/>
      <c r="Z9" s="401" t="s">
        <v>10</v>
      </c>
      <c r="AA9" s="401"/>
      <c r="AB9" s="401"/>
      <c r="AC9" s="401"/>
      <c r="AD9" s="401"/>
      <c r="AE9" s="401"/>
      <c r="AF9" s="401"/>
      <c r="AG9" s="401"/>
      <c r="AH9" s="401"/>
      <c r="AI9" s="303"/>
      <c r="AJ9" s="16"/>
      <c r="AK9" s="16"/>
      <c r="AL9" s="16"/>
      <c r="AM9" s="16"/>
      <c r="AN9" s="16"/>
      <c r="AO9" s="16"/>
      <c r="AP9" s="16"/>
    </row>
    <row r="10" spans="1:45" s="4" customFormat="1">
      <c r="A10" s="16"/>
      <c r="B10" s="11" t="s">
        <v>23</v>
      </c>
      <c r="C10" s="11">
        <v>10</v>
      </c>
      <c r="D10" s="12">
        <v>39</v>
      </c>
      <c r="E10" s="12">
        <v>85</v>
      </c>
      <c r="F10" s="12">
        <f>E10*D10</f>
        <v>3315</v>
      </c>
      <c r="G10" s="13">
        <f>F10*I10/100</f>
        <v>20.45355</v>
      </c>
      <c r="I10" s="11">
        <f>IF(C10=8,0.395,0.617)</f>
        <v>0.61699999999999999</v>
      </c>
      <c r="K10" s="6"/>
      <c r="L10" s="6"/>
      <c r="M10" s="6"/>
      <c r="N10" s="6"/>
      <c r="P10" s="17" t="s">
        <v>39</v>
      </c>
      <c r="Q10" s="18">
        <v>174.6</v>
      </c>
      <c r="R10" s="18">
        <v>200</v>
      </c>
      <c r="S10" s="18">
        <v>15</v>
      </c>
      <c r="T10" s="336">
        <f>(Q10*R10*S10)/1000000</f>
        <v>0.52380000000000004</v>
      </c>
      <c r="U10" s="336"/>
      <c r="V10" s="337">
        <f>((Q10+R10)*2*S10)/10000</f>
        <v>1.1237999999999999</v>
      </c>
      <c r="W10" s="337"/>
      <c r="Y10" s="11" t="s">
        <v>14</v>
      </c>
      <c r="Z10" s="370">
        <v>1.75</v>
      </c>
      <c r="AA10" s="371"/>
      <c r="AB10" s="370">
        <v>2</v>
      </c>
      <c r="AC10" s="371"/>
      <c r="AD10" s="372">
        <v>0.25</v>
      </c>
      <c r="AE10" s="372"/>
      <c r="AF10" s="368">
        <v>1.7</v>
      </c>
      <c r="AG10" s="369"/>
      <c r="AH10" s="302">
        <f>ROUND(((Z10-AD10)*2+(AB10-AD10)*2)*AF10-(3.1415*(1.25/2)^2*2),2)</f>
        <v>8.6</v>
      </c>
      <c r="AI10" s="303"/>
      <c r="AJ10" s="16"/>
      <c r="AK10" s="16"/>
      <c r="AL10" s="16"/>
      <c r="AM10" s="16"/>
      <c r="AN10" s="16"/>
      <c r="AO10" s="16"/>
      <c r="AP10" s="16"/>
      <c r="AQ10" s="5"/>
      <c r="AR10" s="5"/>
      <c r="AS10" s="19">
        <v>1.45</v>
      </c>
    </row>
    <row r="11" spans="1:45" s="4" customFormat="1">
      <c r="A11" s="16"/>
      <c r="B11" s="11" t="s">
        <v>24</v>
      </c>
      <c r="C11" s="11">
        <v>10</v>
      </c>
      <c r="D11" s="12">
        <v>11</v>
      </c>
      <c r="E11" s="12">
        <v>222</v>
      </c>
      <c r="F11" s="12">
        <f>E11*D11</f>
        <v>2442</v>
      </c>
      <c r="G11" s="13">
        <f>F11*I11/100</f>
        <v>15.06714</v>
      </c>
      <c r="I11" s="11">
        <f>IF(C11=8,0.395,0.617)</f>
        <v>0.61699999999999999</v>
      </c>
      <c r="K11" s="6"/>
      <c r="L11" s="6"/>
      <c r="M11" s="6"/>
      <c r="N11" s="6"/>
      <c r="P11" s="17" t="s">
        <v>40</v>
      </c>
      <c r="Q11" s="18">
        <v>62.8</v>
      </c>
      <c r="R11" s="18">
        <v>200</v>
      </c>
      <c r="S11" s="18">
        <v>20</v>
      </c>
      <c r="T11" s="336">
        <f>(Q11*R11*S11)/1000000</f>
        <v>0.25119999999999998</v>
      </c>
      <c r="U11" s="336"/>
      <c r="V11" s="337">
        <f>((Q11+R11)*2*S11)/10000</f>
        <v>1.0511999999999999</v>
      </c>
      <c r="W11" s="337"/>
      <c r="AD11" s="375"/>
      <c r="AE11" s="375"/>
      <c r="AF11" s="377" t="s">
        <v>45</v>
      </c>
      <c r="AG11" s="377"/>
      <c r="AH11" s="304">
        <f>AH10</f>
        <v>8.6</v>
      </c>
      <c r="AI11" s="303"/>
      <c r="AJ11" s="301"/>
      <c r="AK11" s="16"/>
      <c r="AL11" s="16"/>
      <c r="AM11" s="16"/>
      <c r="AN11" s="16"/>
      <c r="AO11" s="16"/>
      <c r="AP11" s="16"/>
    </row>
    <row r="12" spans="1:45" s="4" customFormat="1">
      <c r="A12" s="16"/>
      <c r="F12" s="20"/>
      <c r="G12" s="20"/>
      <c r="H12" s="21"/>
      <c r="L12" s="6"/>
      <c r="M12" s="6"/>
      <c r="N12" s="6"/>
      <c r="O12" s="6"/>
      <c r="P12" s="17" t="s">
        <v>41</v>
      </c>
      <c r="Q12" s="18">
        <v>62.8</v>
      </c>
      <c r="R12" s="18">
        <v>200</v>
      </c>
      <c r="S12" s="18">
        <v>20</v>
      </c>
      <c r="T12" s="336">
        <f t="shared" ref="T12" si="0">(Q12*R12*S12)/1000000</f>
        <v>0.25119999999999998</v>
      </c>
      <c r="U12" s="336"/>
      <c r="V12" s="337">
        <f>((Q12+R12)*2*S12)/10000</f>
        <v>1.0511999999999999</v>
      </c>
      <c r="W12" s="337"/>
      <c r="AE12" s="16"/>
      <c r="AF12" s="22"/>
      <c r="AG12" s="22"/>
      <c r="AH12" s="305"/>
      <c r="AI12" s="303"/>
      <c r="AJ12" s="16"/>
      <c r="AK12" s="16"/>
      <c r="AL12" s="16"/>
      <c r="AM12" s="16"/>
      <c r="AN12" s="16"/>
      <c r="AO12" s="16"/>
      <c r="AP12" s="16"/>
    </row>
    <row r="13" spans="1:45" s="4" customFormat="1">
      <c r="A13" s="16"/>
      <c r="F13" s="20"/>
      <c r="G13" s="20"/>
      <c r="H13" s="21"/>
      <c r="L13" s="6"/>
      <c r="M13" s="6"/>
      <c r="N13" s="6"/>
      <c r="O13" s="6"/>
      <c r="P13" s="23"/>
      <c r="Q13" s="23"/>
      <c r="R13" s="23"/>
      <c r="S13" s="352" t="s">
        <v>43</v>
      </c>
      <c r="T13" s="352"/>
      <c r="U13" s="352"/>
      <c r="V13" s="348">
        <f>SUM(T10:U12)*1.05</f>
        <v>1.07751</v>
      </c>
      <c r="W13" s="348"/>
      <c r="Y13" s="382" t="s">
        <v>49</v>
      </c>
      <c r="Z13" s="382"/>
      <c r="AA13" s="382"/>
      <c r="AB13" s="382"/>
      <c r="AC13" s="382"/>
      <c r="AD13" s="382"/>
      <c r="AE13" s="382"/>
      <c r="AF13" s="382"/>
      <c r="AG13" s="382"/>
      <c r="AH13" s="382"/>
      <c r="AI13" s="303"/>
      <c r="AJ13" s="5"/>
      <c r="AK13" s="5"/>
      <c r="AL13" s="5"/>
      <c r="AM13" s="5"/>
      <c r="AN13" s="5"/>
      <c r="AO13" s="5"/>
      <c r="AP13" s="5"/>
    </row>
    <row r="14" spans="1:45" s="4" customFormat="1" ht="15" customHeight="1">
      <c r="A14" s="16"/>
      <c r="F14" s="20"/>
      <c r="G14" s="20"/>
      <c r="H14" s="21"/>
      <c r="L14" s="6"/>
      <c r="M14" s="6"/>
      <c r="N14" s="6"/>
      <c r="O14" s="6"/>
      <c r="P14" s="23"/>
      <c r="Q14" s="23"/>
      <c r="R14" s="23"/>
      <c r="S14" s="352" t="s">
        <v>44</v>
      </c>
      <c r="T14" s="352"/>
      <c r="U14" s="352"/>
      <c r="V14" s="348">
        <f>SUM(V10:W12)*1.1</f>
        <v>3.5488199999999996</v>
      </c>
      <c r="W14" s="348"/>
      <c r="Y14" s="373" t="s">
        <v>9</v>
      </c>
      <c r="Z14" s="393" t="s">
        <v>11</v>
      </c>
      <c r="AA14" s="367"/>
      <c r="AB14" s="393" t="s">
        <v>12</v>
      </c>
      <c r="AC14" s="367"/>
      <c r="AD14" s="393" t="s">
        <v>13</v>
      </c>
      <c r="AE14" s="367"/>
      <c r="AF14" s="366" t="s">
        <v>225</v>
      </c>
      <c r="AG14" s="367"/>
      <c r="AH14" s="296" t="s">
        <v>222</v>
      </c>
      <c r="AI14" s="303"/>
      <c r="AJ14" s="5"/>
      <c r="AK14" s="5"/>
      <c r="AL14" s="5"/>
      <c r="AM14" s="5"/>
      <c r="AN14" s="5"/>
      <c r="AO14" s="5"/>
      <c r="AP14" s="5"/>
    </row>
    <row r="15" spans="1:45" s="4" customFormat="1">
      <c r="A15" s="16"/>
      <c r="F15" s="20"/>
      <c r="G15" s="20"/>
      <c r="H15" s="21"/>
      <c r="L15" s="6"/>
      <c r="M15" s="6"/>
      <c r="N15" s="6"/>
      <c r="O15" s="6"/>
      <c r="P15" s="23"/>
      <c r="Q15" s="23"/>
      <c r="R15" s="23"/>
      <c r="S15" s="24"/>
      <c r="T15" s="24"/>
      <c r="U15" s="24"/>
      <c r="V15" s="319">
        <f>V14*0.0025</f>
        <v>8.8720499999999994E-3</v>
      </c>
      <c r="W15" s="25"/>
      <c r="Y15" s="374"/>
      <c r="Z15" s="397" t="s">
        <v>10</v>
      </c>
      <c r="AA15" s="397"/>
      <c r="AB15" s="397"/>
      <c r="AC15" s="397"/>
      <c r="AD15" s="397"/>
      <c r="AE15" s="397"/>
      <c r="AF15" s="397"/>
      <c r="AG15" s="397"/>
      <c r="AH15" s="397"/>
      <c r="AI15" s="303"/>
      <c r="AJ15" s="5"/>
      <c r="AK15" s="5"/>
      <c r="AL15" s="5"/>
      <c r="AM15" s="5"/>
      <c r="AN15" s="5"/>
      <c r="AO15" s="5"/>
      <c r="AP15" s="5"/>
    </row>
    <row r="16" spans="1:45" s="4" customFormat="1">
      <c r="A16" s="16"/>
      <c r="F16" s="20"/>
      <c r="G16" s="20"/>
      <c r="H16" s="21"/>
      <c r="L16" s="6"/>
      <c r="M16" s="6"/>
      <c r="N16" s="6"/>
      <c r="O16" s="6"/>
      <c r="P16" s="23"/>
      <c r="Q16" s="23"/>
      <c r="R16" s="23"/>
      <c r="S16" s="24"/>
      <c r="T16" s="24"/>
      <c r="U16" s="24"/>
      <c r="V16" s="25"/>
      <c r="W16" s="25"/>
      <c r="Y16" s="11" t="s">
        <v>14</v>
      </c>
      <c r="Z16" s="370">
        <v>1.75</v>
      </c>
      <c r="AA16" s="371"/>
      <c r="AB16" s="370">
        <v>2</v>
      </c>
      <c r="AC16" s="371"/>
      <c r="AD16" s="372">
        <v>0.25</v>
      </c>
      <c r="AE16" s="372"/>
      <c r="AF16" s="368">
        <v>1.7</v>
      </c>
      <c r="AG16" s="369"/>
      <c r="AH16" s="302">
        <f>ROUND(((Z16-AD16*2)*2+(AB16-AD16*2)*2)*AF16-(3.1415*(1.25/2)^2*2),2)</f>
        <v>6.9</v>
      </c>
      <c r="AI16" s="313" t="s">
        <v>237</v>
      </c>
      <c r="AJ16" s="5">
        <f>Z10*AB10*0.05</f>
        <v>0.17500000000000002</v>
      </c>
      <c r="AK16" s="5"/>
      <c r="AL16" s="5"/>
      <c r="AM16" s="5"/>
      <c r="AN16" s="5"/>
      <c r="AO16" s="5"/>
      <c r="AP16" s="5"/>
    </row>
    <row r="17" spans="1:42" s="4" customFormat="1">
      <c r="A17" s="16"/>
      <c r="F17" s="20"/>
      <c r="G17" s="20"/>
      <c r="H17" s="21"/>
      <c r="L17" s="6"/>
      <c r="M17" s="6"/>
      <c r="N17" s="6"/>
      <c r="O17" s="6"/>
      <c r="P17" s="23"/>
      <c r="Q17" s="23"/>
      <c r="R17" s="23"/>
      <c r="S17" s="24"/>
      <c r="T17" s="24"/>
      <c r="U17" s="24"/>
      <c r="V17" s="25"/>
      <c r="W17" s="25"/>
      <c r="AD17" s="375"/>
      <c r="AE17" s="375"/>
      <c r="AF17" s="391" t="s">
        <v>45</v>
      </c>
      <c r="AG17" s="391"/>
      <c r="AH17" s="304">
        <f>AH16</f>
        <v>6.9</v>
      </c>
      <c r="AI17" s="303"/>
      <c r="AJ17" s="5"/>
      <c r="AK17" s="5"/>
      <c r="AL17" s="5"/>
      <c r="AM17" s="5"/>
      <c r="AN17" s="5"/>
      <c r="AO17" s="5"/>
      <c r="AP17" s="5"/>
    </row>
    <row r="18" spans="1:42" s="4" customFormat="1">
      <c r="A18" s="16"/>
      <c r="B18" s="332" t="s">
        <v>47</v>
      </c>
      <c r="C18" s="332"/>
      <c r="D18" s="332"/>
      <c r="E18" s="332"/>
      <c r="L18" s="6"/>
      <c r="M18" s="6"/>
      <c r="N18" s="6"/>
      <c r="O18" s="6"/>
      <c r="P18" s="332" t="s">
        <v>47</v>
      </c>
      <c r="Q18" s="332"/>
      <c r="R18" s="332"/>
      <c r="S18" s="332"/>
      <c r="W18" s="5"/>
      <c r="Y18" s="389" t="s">
        <v>47</v>
      </c>
      <c r="Z18" s="389"/>
      <c r="AA18" s="389"/>
      <c r="AB18" s="389"/>
      <c r="AC18" s="5"/>
      <c r="AD18" s="5"/>
      <c r="AE18" s="5"/>
      <c r="AF18" s="7"/>
      <c r="AG18" s="7"/>
      <c r="AH18" s="6"/>
      <c r="AI18" s="303"/>
      <c r="AJ18" s="5"/>
      <c r="AK18" s="5"/>
      <c r="AL18" s="5"/>
      <c r="AM18" s="5"/>
      <c r="AN18" s="5"/>
      <c r="AO18" s="5"/>
    </row>
    <row r="19" spans="1:42" s="10" customFormat="1" ht="30">
      <c r="A19" s="16"/>
      <c r="B19" s="8" t="s">
        <v>15</v>
      </c>
      <c r="C19" s="9" t="s">
        <v>33</v>
      </c>
      <c r="D19" s="8" t="s">
        <v>16</v>
      </c>
      <c r="E19" s="9" t="s">
        <v>17</v>
      </c>
      <c r="F19" s="9" t="s">
        <v>18</v>
      </c>
      <c r="G19" s="9" t="s">
        <v>19</v>
      </c>
      <c r="I19" s="9" t="s">
        <v>32</v>
      </c>
      <c r="K19" s="8" t="s">
        <v>34</v>
      </c>
      <c r="L19" s="9" t="s">
        <v>36</v>
      </c>
      <c r="M19" s="9" t="s">
        <v>32</v>
      </c>
      <c r="N19" s="9" t="s">
        <v>35</v>
      </c>
      <c r="P19" s="349" t="s">
        <v>6</v>
      </c>
      <c r="Q19" s="350"/>
      <c r="R19" s="350"/>
      <c r="S19" s="350"/>
      <c r="T19" s="350"/>
      <c r="U19" s="350"/>
      <c r="V19" s="350"/>
      <c r="W19" s="351"/>
      <c r="Y19" s="392" t="s">
        <v>51</v>
      </c>
      <c r="Z19" s="392"/>
      <c r="AA19" s="392"/>
      <c r="AB19" s="392"/>
      <c r="AC19" s="392"/>
      <c r="AD19" s="392"/>
      <c r="AE19" s="392"/>
      <c r="AF19" s="392"/>
      <c r="AG19" s="392"/>
      <c r="AH19" s="392"/>
      <c r="AI19" s="303"/>
      <c r="AJ19" s="16"/>
      <c r="AK19" s="5"/>
      <c r="AL19" s="5"/>
      <c r="AM19" s="5"/>
      <c r="AN19" s="5"/>
      <c r="AO19" s="5"/>
    </row>
    <row r="20" spans="1:42" ht="15" customHeight="1">
      <c r="A20" s="16"/>
      <c r="B20" s="18" t="s">
        <v>21</v>
      </c>
      <c r="C20" s="11">
        <v>10</v>
      </c>
      <c r="D20" s="12">
        <v>12</v>
      </c>
      <c r="E20" s="12">
        <v>78</v>
      </c>
      <c r="F20" s="12">
        <f t="shared" ref="F20:F30" si="1">E20*D20</f>
        <v>936</v>
      </c>
      <c r="G20" s="13">
        <f t="shared" ref="G20:G28" si="2">F20*I20/100</f>
        <v>5.7751199999999994</v>
      </c>
      <c r="H20" s="5"/>
      <c r="I20" s="11">
        <f t="shared" ref="I20:I30" si="3">IF(C20=8,0.395,0.617)</f>
        <v>0.61699999999999999</v>
      </c>
      <c r="J20" s="5"/>
      <c r="K20" s="14">
        <v>8</v>
      </c>
      <c r="L20" s="15">
        <f>(E24+E25+E26+E28+E29+E30)/100</f>
        <v>24.7</v>
      </c>
      <c r="M20" s="14">
        <v>0.39500000000000002</v>
      </c>
      <c r="N20" s="15">
        <f>L20*M20*1.1</f>
        <v>10.732150000000003</v>
      </c>
      <c r="O20" s="5"/>
      <c r="P20" s="339"/>
      <c r="Q20" s="340" t="s">
        <v>48</v>
      </c>
      <c r="R20" s="340" t="s">
        <v>0</v>
      </c>
      <c r="S20" s="345" t="s">
        <v>38</v>
      </c>
      <c r="T20" s="341" t="s">
        <v>7</v>
      </c>
      <c r="U20" s="342"/>
      <c r="V20" s="341" t="s">
        <v>8</v>
      </c>
      <c r="W20" s="342"/>
      <c r="Y20" s="390" t="s">
        <v>9</v>
      </c>
      <c r="Z20" s="393" t="s">
        <v>11</v>
      </c>
      <c r="AA20" s="367"/>
      <c r="AB20" s="393" t="s">
        <v>12</v>
      </c>
      <c r="AC20" s="367"/>
      <c r="AD20" s="393" t="s">
        <v>13</v>
      </c>
      <c r="AE20" s="367"/>
      <c r="AF20" s="366" t="s">
        <v>225</v>
      </c>
      <c r="AG20" s="367"/>
      <c r="AH20" s="296" t="s">
        <v>222</v>
      </c>
      <c r="AJ20" s="16"/>
    </row>
    <row r="21" spans="1:42" ht="15" customHeight="1">
      <c r="A21" s="16"/>
      <c r="B21" s="18" t="s">
        <v>22</v>
      </c>
      <c r="C21" s="11">
        <v>10</v>
      </c>
      <c r="D21" s="11">
        <v>14</v>
      </c>
      <c r="E21" s="11">
        <v>197</v>
      </c>
      <c r="F21" s="12">
        <f t="shared" si="1"/>
        <v>2758</v>
      </c>
      <c r="G21" s="13">
        <f t="shared" si="2"/>
        <v>17.016859999999998</v>
      </c>
      <c r="H21" s="5"/>
      <c r="I21" s="11">
        <f t="shared" si="3"/>
        <v>0.61699999999999999</v>
      </c>
      <c r="J21" s="5"/>
      <c r="K21" s="14">
        <v>10</v>
      </c>
      <c r="L21" s="15">
        <f>(F20+F21+F22+F23+F27)/100</f>
        <v>134.41</v>
      </c>
      <c r="M21" s="14">
        <v>0.61699999999999999</v>
      </c>
      <c r="N21" s="15">
        <f>L21*M21*1.1</f>
        <v>91.224067000000005</v>
      </c>
      <c r="O21" s="5"/>
      <c r="P21" s="339"/>
      <c r="Q21" s="339"/>
      <c r="R21" s="339"/>
      <c r="S21" s="346"/>
      <c r="T21" s="343"/>
      <c r="U21" s="344"/>
      <c r="V21" s="343"/>
      <c r="W21" s="344"/>
      <c r="Y21" s="374"/>
      <c r="Z21" s="400" t="s">
        <v>231</v>
      </c>
      <c r="AA21" s="401"/>
      <c r="AB21" s="401"/>
      <c r="AC21" s="401"/>
      <c r="AD21" s="401"/>
      <c r="AE21" s="401"/>
      <c r="AF21" s="401"/>
      <c r="AG21" s="401"/>
      <c r="AH21" s="401"/>
      <c r="AJ21" s="16"/>
    </row>
    <row r="22" spans="1:42">
      <c r="A22" s="16"/>
      <c r="B22" s="18" t="s">
        <v>23</v>
      </c>
      <c r="C22" s="11">
        <v>10</v>
      </c>
      <c r="D22" s="11">
        <v>12</v>
      </c>
      <c r="E22" s="11">
        <v>92</v>
      </c>
      <c r="F22" s="12">
        <f t="shared" si="1"/>
        <v>1104</v>
      </c>
      <c r="G22" s="13">
        <f t="shared" si="2"/>
        <v>6.81168</v>
      </c>
      <c r="H22" s="5"/>
      <c r="I22" s="11">
        <f t="shared" si="3"/>
        <v>0.61699999999999999</v>
      </c>
      <c r="J22" s="5"/>
      <c r="K22" s="338" t="s">
        <v>37</v>
      </c>
      <c r="L22" s="338"/>
      <c r="M22" s="338"/>
      <c r="N22" s="15">
        <f>SUM(N20:N21)</f>
        <v>101.95621700000001</v>
      </c>
      <c r="O22" s="5"/>
      <c r="P22" s="17" t="s">
        <v>39</v>
      </c>
      <c r="Q22" s="18">
        <v>174.6</v>
      </c>
      <c r="R22" s="18">
        <v>200</v>
      </c>
      <c r="S22" s="18">
        <v>20</v>
      </c>
      <c r="T22" s="336">
        <f>(Q22*R22-60*60)*S22/1000000</f>
        <v>0.62639999999999996</v>
      </c>
      <c r="U22" s="336"/>
      <c r="V22" s="337">
        <f>(Q22+R22+60+60)*2*S22/10000</f>
        <v>1.9783999999999999</v>
      </c>
      <c r="W22" s="337"/>
      <c r="Y22" s="378" t="s">
        <v>14</v>
      </c>
      <c r="Z22" s="372">
        <v>1.75</v>
      </c>
      <c r="AA22" s="372"/>
      <c r="AB22" s="372">
        <v>2</v>
      </c>
      <c r="AC22" s="372"/>
      <c r="AD22" s="372">
        <v>0.25</v>
      </c>
      <c r="AE22" s="372"/>
      <c r="AF22" s="376">
        <v>1.7</v>
      </c>
      <c r="AG22" s="376"/>
      <c r="AH22" s="306">
        <f>ROUND(((Z22-AD22)*2+(AB22-AD22)*2)*AF22-(3.1415*(1.25/2)^2*2),2)</f>
        <v>8.6</v>
      </c>
      <c r="AJ22" s="16"/>
    </row>
    <row r="23" spans="1:42" ht="15" customHeight="1">
      <c r="A23" s="16"/>
      <c r="B23" s="18" t="s">
        <v>24</v>
      </c>
      <c r="C23" s="11">
        <v>10</v>
      </c>
      <c r="D23" s="11">
        <v>24</v>
      </c>
      <c r="E23" s="11">
        <v>222</v>
      </c>
      <c r="F23" s="12">
        <f t="shared" si="1"/>
        <v>5328</v>
      </c>
      <c r="G23" s="13">
        <f t="shared" si="2"/>
        <v>32.873759999999997</v>
      </c>
      <c r="H23" s="5"/>
      <c r="I23" s="11">
        <f t="shared" si="3"/>
        <v>0.61699999999999999</v>
      </c>
      <c r="J23" s="5"/>
      <c r="K23" s="6"/>
      <c r="O23" s="5"/>
      <c r="P23" s="17" t="s">
        <v>40</v>
      </c>
      <c r="Q23" s="18">
        <v>62.8</v>
      </c>
      <c r="R23" s="18">
        <v>200</v>
      </c>
      <c r="S23" s="18">
        <v>20</v>
      </c>
      <c r="T23" s="336">
        <f>(Q23*R23*S23)/1000000</f>
        <v>0.25119999999999998</v>
      </c>
      <c r="U23" s="336"/>
      <c r="V23" s="337">
        <f>((Q23+R23)*2*S23)/10000</f>
        <v>1.0511999999999999</v>
      </c>
      <c r="W23" s="337"/>
      <c r="Y23" s="378"/>
      <c r="Z23" s="386" t="s">
        <v>232</v>
      </c>
      <c r="AA23" s="387"/>
      <c r="AB23" s="387"/>
      <c r="AC23" s="387"/>
      <c r="AD23" s="387"/>
      <c r="AE23" s="387"/>
      <c r="AF23" s="387"/>
      <c r="AG23" s="387"/>
      <c r="AH23" s="388"/>
      <c r="AJ23" s="16"/>
    </row>
    <row r="24" spans="1:42">
      <c r="A24" s="16"/>
      <c r="B24" s="18" t="s">
        <v>25</v>
      </c>
      <c r="C24" s="11">
        <v>8</v>
      </c>
      <c r="D24" s="11">
        <v>1</v>
      </c>
      <c r="E24" s="11">
        <v>490</v>
      </c>
      <c r="F24" s="12">
        <f t="shared" si="1"/>
        <v>490</v>
      </c>
      <c r="G24" s="13">
        <f t="shared" si="2"/>
        <v>1.9355000000000002</v>
      </c>
      <c r="H24" s="5"/>
      <c r="I24" s="11">
        <f t="shared" si="3"/>
        <v>0.39500000000000002</v>
      </c>
      <c r="J24" s="5"/>
      <c r="K24" s="6"/>
      <c r="O24" s="5"/>
      <c r="P24" s="17" t="s">
        <v>41</v>
      </c>
      <c r="Q24" s="18">
        <v>62.8</v>
      </c>
      <c r="R24" s="18">
        <v>200</v>
      </c>
      <c r="S24" s="18">
        <v>20</v>
      </c>
      <c r="T24" s="336">
        <f>(Q24*R24*S24)/1000000</f>
        <v>0.25119999999999998</v>
      </c>
      <c r="U24" s="336"/>
      <c r="V24" s="337">
        <f>((Q24+R24)*2*S24)/10000</f>
        <v>1.0511999999999999</v>
      </c>
      <c r="W24" s="337"/>
      <c r="Y24" s="378"/>
      <c r="Z24" s="372">
        <v>1.1299999999999999</v>
      </c>
      <c r="AA24" s="372"/>
      <c r="AB24" s="372">
        <v>1.1299999999999999</v>
      </c>
      <c r="AC24" s="372"/>
      <c r="AD24" s="372">
        <v>0.25</v>
      </c>
      <c r="AE24" s="372"/>
      <c r="AF24" s="376">
        <v>0.5</v>
      </c>
      <c r="AG24" s="376"/>
      <c r="AH24" s="306">
        <f>ROUND(((Z24-AD24)*2+(AB24-AD24)*2)*AF24,2)</f>
        <v>1.76</v>
      </c>
      <c r="AJ24" s="16"/>
    </row>
    <row r="25" spans="1:42">
      <c r="A25" s="16"/>
      <c r="B25" s="18" t="s">
        <v>26</v>
      </c>
      <c r="C25" s="11">
        <v>8</v>
      </c>
      <c r="D25" s="11">
        <v>1</v>
      </c>
      <c r="E25" s="11">
        <v>420</v>
      </c>
      <c r="F25" s="12">
        <f t="shared" si="1"/>
        <v>420</v>
      </c>
      <c r="G25" s="13">
        <f t="shared" si="2"/>
        <v>1.659</v>
      </c>
      <c r="H25" s="5"/>
      <c r="I25" s="11">
        <f t="shared" si="3"/>
        <v>0.39500000000000002</v>
      </c>
      <c r="J25" s="5"/>
      <c r="K25" s="6"/>
      <c r="O25" s="5"/>
      <c r="P25" s="17" t="s">
        <v>42</v>
      </c>
      <c r="Q25" s="18">
        <v>113</v>
      </c>
      <c r="R25" s="18">
        <v>113</v>
      </c>
      <c r="S25" s="18">
        <v>12</v>
      </c>
      <c r="T25" s="336">
        <f>(Q25*R25-70*70)*S25/1000000</f>
        <v>9.4427999999999998E-2</v>
      </c>
      <c r="U25" s="336"/>
      <c r="V25" s="337">
        <f>(Q25+R25+70+70)*2*S25/10000</f>
        <v>0.87839999999999996</v>
      </c>
      <c r="W25" s="337"/>
      <c r="Y25" s="26"/>
      <c r="AD25" s="375"/>
      <c r="AE25" s="375"/>
      <c r="AF25" s="377" t="s">
        <v>45</v>
      </c>
      <c r="AG25" s="377"/>
      <c r="AH25" s="307">
        <f>AH22+AH24</f>
        <v>10.36</v>
      </c>
      <c r="AJ25" s="16"/>
    </row>
    <row r="26" spans="1:42">
      <c r="A26" s="16"/>
      <c r="B26" s="18" t="s">
        <v>27</v>
      </c>
      <c r="C26" s="11">
        <v>8</v>
      </c>
      <c r="D26" s="11">
        <v>1</v>
      </c>
      <c r="E26" s="11">
        <v>350</v>
      </c>
      <c r="F26" s="12">
        <f t="shared" si="1"/>
        <v>350</v>
      </c>
      <c r="G26" s="13">
        <f t="shared" si="2"/>
        <v>1.3825000000000001</v>
      </c>
      <c r="H26" s="5"/>
      <c r="I26" s="11">
        <f t="shared" si="3"/>
        <v>0.39500000000000002</v>
      </c>
      <c r="J26" s="5"/>
      <c r="K26" s="6"/>
      <c r="O26" s="5"/>
      <c r="P26" s="4"/>
      <c r="Q26" s="4"/>
      <c r="R26" s="4"/>
      <c r="S26" s="352" t="s">
        <v>43</v>
      </c>
      <c r="T26" s="352"/>
      <c r="U26" s="352"/>
      <c r="V26" s="348">
        <f>SUM(T22:U25)*1.05</f>
        <v>1.2843894</v>
      </c>
      <c r="W26" s="348"/>
      <c r="AJ26" s="16"/>
    </row>
    <row r="27" spans="1:42">
      <c r="A27" s="16"/>
      <c r="B27" s="18" t="s">
        <v>28</v>
      </c>
      <c r="C27" s="11">
        <v>10</v>
      </c>
      <c r="D27" s="12">
        <v>39</v>
      </c>
      <c r="E27" s="12">
        <v>85</v>
      </c>
      <c r="F27" s="12">
        <f t="shared" si="1"/>
        <v>3315</v>
      </c>
      <c r="G27" s="13">
        <f t="shared" si="2"/>
        <v>20.45355</v>
      </c>
      <c r="H27" s="5"/>
      <c r="I27" s="11">
        <f t="shared" si="3"/>
        <v>0.61699999999999999</v>
      </c>
      <c r="J27" s="5"/>
      <c r="K27" s="6"/>
      <c r="O27" s="5"/>
      <c r="P27" s="4"/>
      <c r="Q27" s="4"/>
      <c r="R27" s="4"/>
      <c r="S27" s="352" t="s">
        <v>44</v>
      </c>
      <c r="T27" s="352"/>
      <c r="U27" s="352"/>
      <c r="V27" s="348">
        <f>SUM(V22:W25)*1.1</f>
        <v>5.4551200000000009</v>
      </c>
      <c r="W27" s="348"/>
      <c r="Y27" s="382" t="s">
        <v>52</v>
      </c>
      <c r="Z27" s="382"/>
      <c r="AA27" s="382"/>
      <c r="AB27" s="382"/>
      <c r="AC27" s="382"/>
      <c r="AD27" s="382"/>
      <c r="AE27" s="382"/>
      <c r="AF27" s="382"/>
      <c r="AG27" s="382"/>
      <c r="AH27" s="382"/>
    </row>
    <row r="28" spans="1:42" ht="15" customHeight="1">
      <c r="A28" s="16"/>
      <c r="B28" s="18" t="s">
        <v>29</v>
      </c>
      <c r="C28" s="11">
        <v>8</v>
      </c>
      <c r="D28" s="12">
        <v>1</v>
      </c>
      <c r="E28" s="12">
        <v>380</v>
      </c>
      <c r="F28" s="12">
        <f t="shared" si="1"/>
        <v>380</v>
      </c>
      <c r="G28" s="13">
        <f t="shared" si="2"/>
        <v>1.5009999999999999</v>
      </c>
      <c r="H28" s="5"/>
      <c r="I28" s="11">
        <f t="shared" si="3"/>
        <v>0.39500000000000002</v>
      </c>
      <c r="J28" s="5"/>
      <c r="K28" s="6"/>
      <c r="O28" s="5"/>
      <c r="V28" s="318">
        <f>V27*0.0025</f>
        <v>1.3637800000000002E-2</v>
      </c>
      <c r="Y28" s="390" t="s">
        <v>9</v>
      </c>
      <c r="Z28" s="393" t="s">
        <v>11</v>
      </c>
      <c r="AA28" s="367"/>
      <c r="AB28" s="393" t="s">
        <v>12</v>
      </c>
      <c r="AC28" s="367"/>
      <c r="AD28" s="393" t="s">
        <v>13</v>
      </c>
      <c r="AE28" s="367"/>
      <c r="AF28" s="366" t="s">
        <v>225</v>
      </c>
      <c r="AG28" s="367"/>
      <c r="AH28" s="296" t="s">
        <v>222</v>
      </c>
      <c r="AJ28" s="4"/>
      <c r="AK28" s="4"/>
      <c r="AL28" s="4"/>
      <c r="AM28" s="4"/>
      <c r="AN28" s="4"/>
      <c r="AO28" s="4"/>
    </row>
    <row r="29" spans="1:42" ht="15" customHeight="1">
      <c r="A29" s="16"/>
      <c r="B29" s="18" t="s">
        <v>30</v>
      </c>
      <c r="C29" s="11">
        <v>8</v>
      </c>
      <c r="D29" s="12">
        <v>1</v>
      </c>
      <c r="E29" s="12">
        <v>480</v>
      </c>
      <c r="F29" s="12">
        <f t="shared" si="1"/>
        <v>480</v>
      </c>
      <c r="G29" s="13">
        <f t="shared" ref="G29:G30" si="4">F29*I29/100</f>
        <v>1.8960000000000001</v>
      </c>
      <c r="H29" s="16"/>
      <c r="I29" s="11">
        <f t="shared" si="3"/>
        <v>0.39500000000000002</v>
      </c>
      <c r="J29" s="16"/>
      <c r="K29" s="6"/>
      <c r="O29" s="5"/>
      <c r="Y29" s="374"/>
      <c r="Z29" s="396" t="s">
        <v>231</v>
      </c>
      <c r="AA29" s="397"/>
      <c r="AB29" s="397"/>
      <c r="AC29" s="397"/>
      <c r="AD29" s="397"/>
      <c r="AE29" s="397"/>
      <c r="AF29" s="397"/>
      <c r="AG29" s="397"/>
      <c r="AH29" s="397"/>
      <c r="AJ29" s="4"/>
      <c r="AK29" s="4"/>
      <c r="AL29" s="4"/>
      <c r="AM29" s="4"/>
      <c r="AN29" s="4"/>
      <c r="AO29" s="4"/>
    </row>
    <row r="30" spans="1:42">
      <c r="A30" s="16"/>
      <c r="B30" s="18" t="s">
        <v>31</v>
      </c>
      <c r="C30" s="11">
        <v>8</v>
      </c>
      <c r="D30" s="12">
        <v>1</v>
      </c>
      <c r="E30" s="12">
        <v>350</v>
      </c>
      <c r="F30" s="12">
        <f t="shared" si="1"/>
        <v>350</v>
      </c>
      <c r="G30" s="13">
        <f t="shared" si="4"/>
        <v>1.3825000000000001</v>
      </c>
      <c r="H30" s="16"/>
      <c r="I30" s="11">
        <f t="shared" si="3"/>
        <v>0.39500000000000002</v>
      </c>
      <c r="J30" s="16"/>
      <c r="K30" s="6"/>
      <c r="O30" s="5"/>
      <c r="Y30" s="378" t="s">
        <v>14</v>
      </c>
      <c r="Z30" s="372">
        <v>1.75</v>
      </c>
      <c r="AA30" s="372"/>
      <c r="AB30" s="372">
        <v>2</v>
      </c>
      <c r="AC30" s="372"/>
      <c r="AD30" s="372">
        <v>0.25</v>
      </c>
      <c r="AE30" s="372"/>
      <c r="AF30" s="376">
        <v>1.7</v>
      </c>
      <c r="AG30" s="376"/>
      <c r="AH30" s="306">
        <f>ROUND(((Z30-AD30*2)*2+(AB30-AD30*2)*2)*AF30-(3.1415*(1.25/2)^2*2),2)</f>
        <v>6.9</v>
      </c>
      <c r="AJ30" s="4"/>
      <c r="AK30" s="4"/>
      <c r="AL30" s="4"/>
      <c r="AM30" s="4"/>
      <c r="AN30" s="4"/>
      <c r="AO30" s="4"/>
    </row>
    <row r="31" spans="1:42" ht="15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6"/>
      <c r="O31" s="5"/>
      <c r="Y31" s="378"/>
      <c r="Z31" s="383" t="s">
        <v>232</v>
      </c>
      <c r="AA31" s="384"/>
      <c r="AB31" s="384"/>
      <c r="AC31" s="384"/>
      <c r="AD31" s="384"/>
      <c r="AE31" s="384"/>
      <c r="AF31" s="384"/>
      <c r="AG31" s="384"/>
      <c r="AH31" s="385"/>
      <c r="AJ31" s="4"/>
      <c r="AK31" s="4"/>
      <c r="AL31" s="4"/>
      <c r="AM31" s="4"/>
      <c r="AN31" s="4"/>
      <c r="AO31" s="4"/>
    </row>
    <row r="32" spans="1:4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6"/>
      <c r="O32" s="5"/>
      <c r="Y32" s="378"/>
      <c r="Z32" s="372">
        <v>1.1299999999999999</v>
      </c>
      <c r="AA32" s="372"/>
      <c r="AB32" s="372">
        <v>1.1299999999999999</v>
      </c>
      <c r="AC32" s="372"/>
      <c r="AD32" s="372">
        <v>0.25</v>
      </c>
      <c r="AE32" s="372"/>
      <c r="AF32" s="376">
        <v>0.5</v>
      </c>
      <c r="AG32" s="376"/>
      <c r="AH32" s="306">
        <f>ROUND(((Z32-AD32*2)*2+(AB32-AD32*2)*2)*AF32,2)</f>
        <v>1.26</v>
      </c>
      <c r="AI32" s="313" t="s">
        <v>237</v>
      </c>
      <c r="AJ32" s="5">
        <f>Z30*AB30*0.05</f>
        <v>0.17500000000000002</v>
      </c>
      <c r="AK32" s="10"/>
      <c r="AL32" s="10"/>
      <c r="AM32" s="10"/>
      <c r="AN32" s="10"/>
      <c r="AO32" s="10"/>
    </row>
    <row r="33" spans="1:4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6"/>
      <c r="O33" s="5"/>
      <c r="Y33" s="26"/>
      <c r="AD33" s="375"/>
      <c r="AE33" s="375"/>
      <c r="AF33" s="391" t="s">
        <v>45</v>
      </c>
      <c r="AG33" s="391"/>
      <c r="AH33" s="307">
        <f>AH30+AH32</f>
        <v>8.16</v>
      </c>
    </row>
    <row r="34" spans="1:41">
      <c r="A34" s="16"/>
      <c r="B34" s="16"/>
      <c r="C34" s="16"/>
      <c r="D34" s="16"/>
      <c r="E34" s="16"/>
      <c r="F34" s="16"/>
      <c r="G34" s="16"/>
      <c r="H34" s="16"/>
      <c r="I34" s="16"/>
      <c r="J34" s="16"/>
    </row>
    <row r="35" spans="1:41" s="4" customFormat="1">
      <c r="A35" s="16"/>
      <c r="B35" s="332" t="s">
        <v>46</v>
      </c>
      <c r="C35" s="332"/>
      <c r="D35" s="332"/>
      <c r="E35" s="332"/>
      <c r="L35" s="6"/>
      <c r="M35" s="6"/>
      <c r="N35" s="6"/>
      <c r="O35" s="6"/>
      <c r="P35" s="332" t="s">
        <v>46</v>
      </c>
      <c r="Q35" s="332"/>
      <c r="R35" s="332"/>
      <c r="S35" s="332"/>
      <c r="W35" s="5"/>
      <c r="Y35" s="389" t="s">
        <v>46</v>
      </c>
      <c r="Z35" s="389"/>
      <c r="AA35" s="389"/>
      <c r="AB35" s="389"/>
      <c r="AC35" s="5"/>
      <c r="AD35" s="5"/>
      <c r="AE35" s="5"/>
      <c r="AF35" s="7"/>
      <c r="AG35" s="7"/>
      <c r="AH35" s="6"/>
      <c r="AI35" s="303"/>
      <c r="AJ35" s="5"/>
      <c r="AK35" s="5"/>
      <c r="AL35" s="5"/>
      <c r="AM35" s="5"/>
      <c r="AN35" s="5"/>
      <c r="AO35" s="5"/>
    </row>
    <row r="36" spans="1:41" s="10" customFormat="1" ht="30">
      <c r="A36" s="16"/>
      <c r="B36" s="8" t="s">
        <v>15</v>
      </c>
      <c r="C36" s="9" t="s">
        <v>33</v>
      </c>
      <c r="D36" s="8" t="s">
        <v>16</v>
      </c>
      <c r="E36" s="9" t="s">
        <v>17</v>
      </c>
      <c r="F36" s="9" t="s">
        <v>18</v>
      </c>
      <c r="G36" s="9" t="s">
        <v>19</v>
      </c>
      <c r="I36" s="9" t="s">
        <v>32</v>
      </c>
      <c r="K36" s="8" t="s">
        <v>34</v>
      </c>
      <c r="L36" s="9" t="s">
        <v>36</v>
      </c>
      <c r="M36" s="9" t="s">
        <v>32</v>
      </c>
      <c r="N36" s="9" t="s">
        <v>35</v>
      </c>
      <c r="P36" s="349" t="s">
        <v>6</v>
      </c>
      <c r="Q36" s="350"/>
      <c r="R36" s="350"/>
      <c r="S36" s="350"/>
      <c r="T36" s="350"/>
      <c r="U36" s="350"/>
      <c r="V36" s="350"/>
      <c r="W36" s="351"/>
      <c r="Y36" s="379" t="s">
        <v>53</v>
      </c>
      <c r="Z36" s="380"/>
      <c r="AA36" s="380"/>
      <c r="AB36" s="380"/>
      <c r="AC36" s="380"/>
      <c r="AD36" s="380"/>
      <c r="AE36" s="380"/>
      <c r="AF36" s="380"/>
      <c r="AG36" s="380"/>
      <c r="AH36" s="381"/>
      <c r="AI36" s="303"/>
      <c r="AJ36" s="5"/>
      <c r="AK36" s="5"/>
      <c r="AL36" s="5"/>
      <c r="AM36" s="5"/>
      <c r="AN36" s="5"/>
      <c r="AO36" s="5"/>
    </row>
    <row r="37" spans="1:41" ht="15" customHeight="1">
      <c r="A37" s="16"/>
      <c r="B37" s="18" t="s">
        <v>21</v>
      </c>
      <c r="C37" s="11">
        <v>10</v>
      </c>
      <c r="D37" s="12">
        <v>1</v>
      </c>
      <c r="E37" s="12">
        <v>450</v>
      </c>
      <c r="F37" s="12">
        <f>E37*D37</f>
        <v>450</v>
      </c>
      <c r="G37" s="13">
        <f>F37*I37/100</f>
        <v>2.7765</v>
      </c>
      <c r="H37" s="5"/>
      <c r="I37" s="11">
        <f>IF(C37=8,0.395,0.617)</f>
        <v>0.61699999999999999</v>
      </c>
      <c r="J37" s="5"/>
      <c r="K37" s="14">
        <v>10</v>
      </c>
      <c r="L37" s="15">
        <f>(F37+F38+F39+F40+F41)/100</f>
        <v>20.329999999999998</v>
      </c>
      <c r="M37" s="14">
        <v>0.61699999999999999</v>
      </c>
      <c r="N37" s="15">
        <f>L37*M37*1.1</f>
        <v>13.797971</v>
      </c>
      <c r="O37" s="5"/>
      <c r="P37" s="362"/>
      <c r="Q37" s="364" t="s">
        <v>48</v>
      </c>
      <c r="R37" s="364" t="s">
        <v>0</v>
      </c>
      <c r="S37" s="345" t="s">
        <v>38</v>
      </c>
      <c r="T37" s="341" t="s">
        <v>7</v>
      </c>
      <c r="U37" s="342"/>
      <c r="V37" s="341" t="s">
        <v>8</v>
      </c>
      <c r="W37" s="342"/>
      <c r="Y37" s="390" t="s">
        <v>9</v>
      </c>
      <c r="Z37" s="403" t="s">
        <v>11</v>
      </c>
      <c r="AA37" s="404"/>
      <c r="AB37" s="403" t="s">
        <v>12</v>
      </c>
      <c r="AC37" s="404"/>
      <c r="AD37" s="403" t="s">
        <v>13</v>
      </c>
      <c r="AE37" s="404"/>
      <c r="AF37" s="398" t="s">
        <v>225</v>
      </c>
      <c r="AG37" s="399"/>
      <c r="AH37" s="296" t="s">
        <v>222</v>
      </c>
    </row>
    <row r="38" spans="1:41" ht="15" customHeight="1">
      <c r="A38" s="16"/>
      <c r="B38" s="18" t="s">
        <v>22</v>
      </c>
      <c r="C38" s="11">
        <v>10</v>
      </c>
      <c r="D38" s="11">
        <v>1</v>
      </c>
      <c r="E38" s="11">
        <v>530</v>
      </c>
      <c r="F38" s="12">
        <f>E38*D38</f>
        <v>530</v>
      </c>
      <c r="G38" s="13">
        <f>F38*I38/100</f>
        <v>3.2700999999999998</v>
      </c>
      <c r="H38" s="5"/>
      <c r="I38" s="11">
        <f>IF(C38=8,0.395,0.617)</f>
        <v>0.61699999999999999</v>
      </c>
      <c r="J38" s="5"/>
      <c r="K38" s="333" t="s">
        <v>37</v>
      </c>
      <c r="L38" s="334"/>
      <c r="M38" s="335"/>
      <c r="N38" s="15">
        <f>SUM(N37:N37)</f>
        <v>13.797971</v>
      </c>
      <c r="O38" s="5"/>
      <c r="P38" s="363"/>
      <c r="Q38" s="365"/>
      <c r="R38" s="365"/>
      <c r="S38" s="346"/>
      <c r="T38" s="343"/>
      <c r="U38" s="344"/>
      <c r="V38" s="343"/>
      <c r="W38" s="344"/>
      <c r="Y38" s="390"/>
      <c r="Z38" s="386" t="s">
        <v>232</v>
      </c>
      <c r="AA38" s="387"/>
      <c r="AB38" s="387"/>
      <c r="AC38" s="387"/>
      <c r="AD38" s="387"/>
      <c r="AE38" s="387"/>
      <c r="AF38" s="387"/>
      <c r="AG38" s="387"/>
      <c r="AH38" s="388"/>
    </row>
    <row r="39" spans="1:41">
      <c r="A39" s="16"/>
      <c r="B39" s="18" t="s">
        <v>23</v>
      </c>
      <c r="C39" s="11">
        <v>10</v>
      </c>
      <c r="D39" s="11">
        <v>1</v>
      </c>
      <c r="E39" s="11">
        <v>465</v>
      </c>
      <c r="F39" s="12">
        <f>E39*D39</f>
        <v>465</v>
      </c>
      <c r="G39" s="13">
        <f>F39*I39/100</f>
        <v>2.8690499999999997</v>
      </c>
      <c r="H39" s="5"/>
      <c r="I39" s="11">
        <f>IF(C39=8,0.395,0.617)</f>
        <v>0.61699999999999999</v>
      </c>
      <c r="J39" s="5"/>
      <c r="K39" s="6"/>
      <c r="O39" s="5"/>
      <c r="P39" s="17" t="s">
        <v>42</v>
      </c>
      <c r="Q39" s="18">
        <v>113</v>
      </c>
      <c r="R39" s="18">
        <v>143</v>
      </c>
      <c r="S39" s="18">
        <v>12</v>
      </c>
      <c r="T39" s="358">
        <f>(Q39*R39-70*70)*S39/1000000</f>
        <v>0.13510800000000001</v>
      </c>
      <c r="U39" s="359"/>
      <c r="V39" s="360">
        <f>(Q39+R39+70+70)*2*S39/10000</f>
        <v>0.95040000000000002</v>
      </c>
      <c r="W39" s="361"/>
      <c r="Y39" s="32" t="s">
        <v>14</v>
      </c>
      <c r="Z39" s="372">
        <v>1.1299999999999999</v>
      </c>
      <c r="AA39" s="372"/>
      <c r="AB39" s="372">
        <v>1.43</v>
      </c>
      <c r="AC39" s="372"/>
      <c r="AD39" s="372">
        <v>0.25</v>
      </c>
      <c r="AE39" s="372"/>
      <c r="AF39" s="402">
        <v>1</v>
      </c>
      <c r="AG39" s="402"/>
      <c r="AH39" s="306">
        <f>ROUND(((Z39-AD39)*2+(AB39-AD39)*2)*AF39,2)</f>
        <v>4.12</v>
      </c>
    </row>
    <row r="40" spans="1:41" ht="15" customHeight="1">
      <c r="A40" s="16"/>
      <c r="B40" s="18" t="s">
        <v>24</v>
      </c>
      <c r="C40" s="11">
        <v>10</v>
      </c>
      <c r="D40" s="11">
        <v>1</v>
      </c>
      <c r="E40" s="11">
        <v>350</v>
      </c>
      <c r="F40" s="12">
        <f>E40*D40</f>
        <v>350</v>
      </c>
      <c r="G40" s="13">
        <f>F40*I40/100</f>
        <v>2.1595</v>
      </c>
      <c r="H40" s="5"/>
      <c r="I40" s="11">
        <f>IF(C40=8,0.395,0.617)</f>
        <v>0.61699999999999999</v>
      </c>
      <c r="J40" s="5"/>
      <c r="K40" s="6"/>
      <c r="O40" s="5"/>
      <c r="P40" s="4"/>
      <c r="S40" s="355" t="s">
        <v>43</v>
      </c>
      <c r="T40" s="356"/>
      <c r="U40" s="357"/>
      <c r="V40" s="353">
        <f>T39*1.05</f>
        <v>0.1418634</v>
      </c>
      <c r="W40" s="354"/>
      <c r="AD40" s="375"/>
      <c r="AE40" s="375"/>
      <c r="AF40" s="377" t="s">
        <v>45</v>
      </c>
      <c r="AG40" s="377"/>
      <c r="AH40" s="307">
        <f>AH39</f>
        <v>4.12</v>
      </c>
    </row>
    <row r="41" spans="1:41">
      <c r="A41" s="16"/>
      <c r="B41" s="11" t="s">
        <v>25</v>
      </c>
      <c r="C41" s="11">
        <v>10</v>
      </c>
      <c r="D41" s="11">
        <v>2</v>
      </c>
      <c r="E41" s="11">
        <v>119</v>
      </c>
      <c r="F41" s="12">
        <f>E41*D41</f>
        <v>238</v>
      </c>
      <c r="G41" s="13">
        <f>F41*I41/100</f>
        <v>1.4684600000000001</v>
      </c>
      <c r="H41" s="5"/>
      <c r="I41" s="11">
        <f>IF(C41=8,0.395,0.617)</f>
        <v>0.61699999999999999</v>
      </c>
      <c r="J41" s="5"/>
      <c r="K41" s="6"/>
      <c r="O41" s="5"/>
      <c r="P41" s="4"/>
      <c r="S41" s="355" t="s">
        <v>44</v>
      </c>
      <c r="T41" s="356"/>
      <c r="U41" s="357"/>
      <c r="V41" s="353">
        <f>V39*1.1</f>
        <v>1.0454400000000001</v>
      </c>
      <c r="W41" s="354"/>
    </row>
    <row r="42" spans="1:41">
      <c r="A42" s="16"/>
      <c r="H42" s="13"/>
      <c r="V42" s="318">
        <f>V41*0.0025</f>
        <v>2.6136000000000002E-3</v>
      </c>
      <c r="Y42" s="382" t="s">
        <v>54</v>
      </c>
      <c r="Z42" s="382"/>
      <c r="AA42" s="382"/>
      <c r="AB42" s="382"/>
      <c r="AC42" s="382"/>
      <c r="AD42" s="382"/>
      <c r="AE42" s="382"/>
      <c r="AF42" s="382"/>
      <c r="AG42" s="382"/>
      <c r="AH42" s="382"/>
    </row>
    <row r="43" spans="1:41" ht="15" customHeight="1">
      <c r="A43" s="16"/>
      <c r="Y43" s="390" t="s">
        <v>9</v>
      </c>
      <c r="Z43" s="393" t="s">
        <v>11</v>
      </c>
      <c r="AA43" s="367"/>
      <c r="AB43" s="393" t="s">
        <v>12</v>
      </c>
      <c r="AC43" s="367"/>
      <c r="AD43" s="393" t="s">
        <v>13</v>
      </c>
      <c r="AE43" s="367"/>
      <c r="AF43" s="366" t="s">
        <v>225</v>
      </c>
      <c r="AG43" s="367"/>
      <c r="AH43" s="296" t="s">
        <v>222</v>
      </c>
    </row>
    <row r="44" spans="1:41" ht="15" customHeight="1">
      <c r="A44" s="16"/>
      <c r="Y44" s="390"/>
      <c r="Z44" s="383" t="s">
        <v>232</v>
      </c>
      <c r="AA44" s="384"/>
      <c r="AB44" s="384"/>
      <c r="AC44" s="384"/>
      <c r="AD44" s="384"/>
      <c r="AE44" s="384"/>
      <c r="AF44" s="384"/>
      <c r="AG44" s="384"/>
      <c r="AH44" s="385"/>
    </row>
    <row r="45" spans="1:41">
      <c r="A45" s="16"/>
      <c r="Y45" s="11" t="s">
        <v>14</v>
      </c>
      <c r="Z45" s="370">
        <v>1.1299999999999999</v>
      </c>
      <c r="AA45" s="371"/>
      <c r="AB45" s="370">
        <v>1.43</v>
      </c>
      <c r="AC45" s="371"/>
      <c r="AD45" s="372">
        <v>0.25</v>
      </c>
      <c r="AE45" s="372"/>
      <c r="AF45" s="394">
        <v>1</v>
      </c>
      <c r="AG45" s="395"/>
      <c r="AH45" s="306">
        <f>ROUND(((Z45-AD45*2)*2+(AB45-AD45*2)*2)*AF45,2)</f>
        <v>3.12</v>
      </c>
    </row>
    <row r="46" spans="1:41">
      <c r="A46" s="16"/>
      <c r="AD46" s="375"/>
      <c r="AE46" s="375"/>
      <c r="AF46" s="391" t="s">
        <v>45</v>
      </c>
      <c r="AG46" s="391"/>
      <c r="AH46" s="307">
        <f>AH45</f>
        <v>3.12</v>
      </c>
    </row>
    <row r="47" spans="1:41">
      <c r="A47" s="16"/>
    </row>
    <row r="48" spans="1:41">
      <c r="A48" s="16"/>
    </row>
    <row r="49" spans="1:36">
      <c r="A49" s="16"/>
    </row>
    <row r="50" spans="1:36">
      <c r="A50" s="16"/>
      <c r="P50" s="405" t="s">
        <v>190</v>
      </c>
      <c r="Q50" s="332"/>
      <c r="R50" s="332"/>
      <c r="S50" s="332"/>
      <c r="T50" s="4"/>
      <c r="U50" s="4"/>
      <c r="V50" s="4"/>
      <c r="Y50" s="379" t="s">
        <v>223</v>
      </c>
      <c r="Z50" s="380"/>
      <c r="AA50" s="380"/>
      <c r="AB50" s="380"/>
      <c r="AC50" s="380"/>
      <c r="AD50" s="380"/>
      <c r="AE50" s="380"/>
      <c r="AF50" s="380"/>
      <c r="AG50" s="380"/>
      <c r="AH50" s="381"/>
    </row>
    <row r="51" spans="1:36" ht="15" customHeight="1">
      <c r="P51" s="347" t="s">
        <v>6</v>
      </c>
      <c r="Q51" s="347"/>
      <c r="R51" s="347"/>
      <c r="S51" s="347"/>
      <c r="T51" s="347"/>
      <c r="U51" s="347"/>
      <c r="V51" s="347"/>
      <c r="W51" s="347"/>
      <c r="Y51" s="373" t="s">
        <v>9</v>
      </c>
      <c r="Z51" s="393" t="s">
        <v>11</v>
      </c>
      <c r="AA51" s="367"/>
      <c r="AB51" s="393" t="s">
        <v>12</v>
      </c>
      <c r="AC51" s="367"/>
      <c r="AD51" s="393" t="s">
        <v>13</v>
      </c>
      <c r="AE51" s="367"/>
      <c r="AF51" s="366" t="s">
        <v>225</v>
      </c>
      <c r="AG51" s="367"/>
      <c r="AH51" s="296" t="s">
        <v>222</v>
      </c>
      <c r="AI51" t="s">
        <v>229</v>
      </c>
    </row>
    <row r="52" spans="1:36">
      <c r="J52" s="5"/>
      <c r="K52" s="6"/>
      <c r="N52" s="5"/>
      <c r="O52" s="5"/>
      <c r="P52" s="339"/>
      <c r="Q52" s="340" t="s">
        <v>48</v>
      </c>
      <c r="R52" s="340" t="s">
        <v>0</v>
      </c>
      <c r="S52" s="345" t="s">
        <v>38</v>
      </c>
      <c r="T52" s="341" t="s">
        <v>7</v>
      </c>
      <c r="U52" s="342"/>
      <c r="V52" s="341" t="s">
        <v>8</v>
      </c>
      <c r="W52" s="342"/>
      <c r="Y52" s="374"/>
      <c r="Z52" s="400" t="s">
        <v>231</v>
      </c>
      <c r="AA52" s="401"/>
      <c r="AB52" s="401"/>
      <c r="AC52" s="401"/>
      <c r="AD52" s="401"/>
      <c r="AE52" s="401"/>
      <c r="AF52" s="401"/>
      <c r="AG52" s="401"/>
      <c r="AH52" s="401"/>
      <c r="AI52" s="315" t="s">
        <v>230</v>
      </c>
    </row>
    <row r="53" spans="1:36" ht="14.25" customHeight="1">
      <c r="J53" s="5"/>
      <c r="K53" s="6"/>
      <c r="N53" s="5"/>
      <c r="O53" s="5"/>
      <c r="P53" s="339"/>
      <c r="Q53" s="339"/>
      <c r="R53" s="339"/>
      <c r="S53" s="346"/>
      <c r="T53" s="343"/>
      <c r="U53" s="344"/>
      <c r="V53" s="343"/>
      <c r="W53" s="344"/>
      <c r="Y53" s="32" t="s">
        <v>14</v>
      </c>
      <c r="Z53" s="370">
        <v>1.1000000000000001</v>
      </c>
      <c r="AA53" s="371"/>
      <c r="AB53" s="370">
        <v>0.62</v>
      </c>
      <c r="AC53" s="371"/>
      <c r="AD53" s="372">
        <v>0.15</v>
      </c>
      <c r="AE53" s="372"/>
      <c r="AF53" s="368">
        <v>1.2</v>
      </c>
      <c r="AG53" s="369"/>
      <c r="AH53" s="302">
        <f>ROUND(((Z53-AD53)*2+(AB53-AD53)*2)*AF53,2)</f>
        <v>3.41</v>
      </c>
      <c r="AI53" s="317">
        <f>AH54/(0.09*0.26)</f>
        <v>145.72649572649573</v>
      </c>
    </row>
    <row r="54" spans="1:36">
      <c r="J54" s="5"/>
      <c r="K54" s="6"/>
      <c r="N54" s="5"/>
      <c r="O54" s="5"/>
      <c r="P54" s="308" t="s">
        <v>42</v>
      </c>
      <c r="Q54" s="18">
        <v>100</v>
      </c>
      <c r="R54" s="18">
        <v>50</v>
      </c>
      <c r="S54" s="18">
        <v>6</v>
      </c>
      <c r="T54" s="336">
        <f>(Q54*R54*S54)/1000000</f>
        <v>0.03</v>
      </c>
      <c r="U54" s="336"/>
      <c r="V54" s="337">
        <f>((Q54+R54)*2*S54)/10000</f>
        <v>0.18</v>
      </c>
      <c r="W54" s="337"/>
      <c r="Y54" s="4"/>
      <c r="Z54" s="4"/>
      <c r="AA54" s="4"/>
      <c r="AB54" s="4"/>
      <c r="AC54" s="4"/>
      <c r="AD54" s="375"/>
      <c r="AE54" s="375"/>
      <c r="AF54" s="377" t="s">
        <v>45</v>
      </c>
      <c r="AG54" s="377"/>
      <c r="AH54" s="307">
        <f>AH53</f>
        <v>3.41</v>
      </c>
    </row>
    <row r="55" spans="1:36">
      <c r="J55" s="5"/>
      <c r="K55" s="6"/>
      <c r="M55" s="31"/>
      <c r="N55" s="31"/>
      <c r="O55" s="31"/>
      <c r="P55" s="308" t="s">
        <v>235</v>
      </c>
      <c r="Q55" s="18">
        <v>100</v>
      </c>
      <c r="R55" s="18">
        <v>60</v>
      </c>
      <c r="S55" s="18">
        <v>6</v>
      </c>
      <c r="T55" s="336">
        <f>(Q55*R55*S55)/1000000</f>
        <v>3.5999999999999997E-2</v>
      </c>
      <c r="U55" s="336"/>
      <c r="V55" s="337">
        <f>((Q55+R55)*2*S55)/10000</f>
        <v>0.192</v>
      </c>
      <c r="W55" s="337"/>
    </row>
    <row r="56" spans="1:36">
      <c r="J56" s="5"/>
      <c r="K56" s="6"/>
      <c r="M56" s="31"/>
      <c r="N56" s="31"/>
      <c r="O56" s="31"/>
      <c r="P56" s="17"/>
      <c r="Q56" s="18"/>
      <c r="R56" s="18"/>
      <c r="S56" s="18"/>
      <c r="T56" s="336">
        <f t="shared" ref="T56" si="5">(Q56*R56*S56)/1000000</f>
        <v>0</v>
      </c>
      <c r="U56" s="336"/>
      <c r="V56" s="337">
        <f>((Q56+R56)*2*S56)/10000</f>
        <v>0</v>
      </c>
      <c r="W56" s="337"/>
      <c r="Y56" s="382" t="s">
        <v>224</v>
      </c>
      <c r="Z56" s="382"/>
      <c r="AA56" s="382"/>
      <c r="AB56" s="382"/>
      <c r="AC56" s="382"/>
      <c r="AD56" s="382"/>
      <c r="AE56" s="382"/>
      <c r="AF56" s="382"/>
      <c r="AG56" s="382"/>
      <c r="AH56" s="382"/>
    </row>
    <row r="57" spans="1:36" ht="15" customHeight="1">
      <c r="J57" s="5"/>
      <c r="K57" s="6"/>
      <c r="M57" s="31"/>
      <c r="N57" s="31"/>
      <c r="O57" s="31"/>
      <c r="P57" s="23"/>
      <c r="Q57" s="23"/>
      <c r="R57" s="23"/>
      <c r="S57" s="352" t="s">
        <v>43</v>
      </c>
      <c r="T57" s="352"/>
      <c r="U57" s="352"/>
      <c r="V57" s="348">
        <f>SUM(T54:U56)*1.05</f>
        <v>6.93E-2</v>
      </c>
      <c r="W57" s="348"/>
      <c r="Y57" s="373" t="s">
        <v>9</v>
      </c>
      <c r="Z57" s="393" t="s">
        <v>11</v>
      </c>
      <c r="AA57" s="367"/>
      <c r="AB57" s="393" t="s">
        <v>12</v>
      </c>
      <c r="AC57" s="367"/>
      <c r="AD57" s="393" t="s">
        <v>13</v>
      </c>
      <c r="AE57" s="367"/>
      <c r="AF57" s="366" t="s">
        <v>225</v>
      </c>
      <c r="AG57" s="367"/>
      <c r="AH57" s="296" t="s">
        <v>222</v>
      </c>
      <c r="AJ57" t="s">
        <v>233</v>
      </c>
    </row>
    <row r="58" spans="1:36">
      <c r="B58" s="5"/>
      <c r="C58" s="5"/>
      <c r="D58" s="5"/>
      <c r="E58" s="5"/>
      <c r="F58" s="5"/>
      <c r="G58" s="5"/>
      <c r="H58" s="5"/>
      <c r="J58" s="5"/>
      <c r="K58" s="27"/>
      <c r="O58" s="5"/>
      <c r="P58" s="23"/>
      <c r="Q58" s="23"/>
      <c r="R58" s="23"/>
      <c r="S58" s="352" t="s">
        <v>44</v>
      </c>
      <c r="T58" s="352"/>
      <c r="U58" s="352"/>
      <c r="V58" s="348">
        <f>SUM(V54:W56)*1.1</f>
        <v>0.40920000000000001</v>
      </c>
      <c r="W58" s="348"/>
      <c r="Y58" s="374"/>
      <c r="Z58" s="396" t="s">
        <v>231</v>
      </c>
      <c r="AA58" s="397"/>
      <c r="AB58" s="397"/>
      <c r="AC58" s="397"/>
      <c r="AD58" s="397"/>
      <c r="AE58" s="397"/>
      <c r="AF58" s="397"/>
      <c r="AG58" s="397"/>
      <c r="AH58" s="397"/>
      <c r="AJ58" s="289" t="s">
        <v>234</v>
      </c>
    </row>
    <row r="59" spans="1:36">
      <c r="B59" s="5"/>
      <c r="C59" s="5"/>
      <c r="D59" s="5"/>
      <c r="E59" s="5"/>
      <c r="F59" s="5"/>
      <c r="G59" s="5"/>
      <c r="H59" s="5"/>
      <c r="J59" s="5"/>
      <c r="K59" s="28"/>
      <c r="O59" s="5"/>
      <c r="Y59" s="32" t="s">
        <v>14</v>
      </c>
      <c r="Z59" s="370">
        <v>1.1000000000000001</v>
      </c>
      <c r="AA59" s="371"/>
      <c r="AB59" s="370">
        <v>0.62</v>
      </c>
      <c r="AC59" s="371"/>
      <c r="AD59" s="372">
        <v>0.15</v>
      </c>
      <c r="AE59" s="372"/>
      <c r="AF59" s="368">
        <v>1.2</v>
      </c>
      <c r="AG59" s="369"/>
      <c r="AH59" s="302">
        <f>ROUND(((Z59-AD59*2)*2+(AB59-AD59*2)*2)*AF59,2)</f>
        <v>2.69</v>
      </c>
      <c r="AJ59" s="314">
        <f>(AH54/(0.08*0.25)-AI53)*0.008*0.25</f>
        <v>4.9547008547008546E-2</v>
      </c>
    </row>
    <row r="60" spans="1:36">
      <c r="H60" s="5"/>
      <c r="I60" s="4"/>
      <c r="J60" s="5"/>
      <c r="K60" s="6"/>
      <c r="O60" s="5"/>
      <c r="Y60" s="4"/>
      <c r="Z60" s="4"/>
      <c r="AA60" s="4"/>
      <c r="AB60" s="4"/>
      <c r="AC60" s="4"/>
      <c r="AD60" s="375"/>
      <c r="AE60" s="375"/>
      <c r="AF60" s="391" t="s">
        <v>45</v>
      </c>
      <c r="AG60" s="391"/>
      <c r="AH60" s="307">
        <f>AH59</f>
        <v>2.69</v>
      </c>
    </row>
    <row r="61" spans="1:36">
      <c r="B61" s="5"/>
      <c r="C61" s="5"/>
      <c r="D61" s="5"/>
      <c r="E61" s="5"/>
      <c r="F61" s="5"/>
      <c r="G61" s="5"/>
      <c r="H61" s="5"/>
      <c r="AF61" s="331" t="s">
        <v>236</v>
      </c>
      <c r="AG61" s="331"/>
      <c r="AH61" s="316">
        <f>AH60*1.5/100+AJ59</f>
        <v>8.989700854700855E-2</v>
      </c>
    </row>
    <row r="62" spans="1:36">
      <c r="B62" s="5"/>
      <c r="C62" s="5"/>
      <c r="D62" s="5"/>
      <c r="E62" s="5"/>
      <c r="F62" s="5"/>
      <c r="G62" s="5"/>
      <c r="H62" s="5"/>
      <c r="AF62" s="330" t="s">
        <v>238</v>
      </c>
      <c r="AG62" s="330"/>
      <c r="AH62" s="27">
        <f>Z59*AB59*0.05</f>
        <v>3.4100000000000005E-2</v>
      </c>
    </row>
    <row r="63" spans="1:36">
      <c r="B63" s="5"/>
      <c r="C63" s="5"/>
      <c r="D63" s="5"/>
      <c r="E63" s="5"/>
      <c r="F63" s="5"/>
      <c r="G63" s="5"/>
      <c r="H63" s="5"/>
    </row>
    <row r="64" spans="1:36">
      <c r="B64" s="5"/>
      <c r="C64" s="5"/>
      <c r="D64" s="5"/>
      <c r="E64" s="5"/>
      <c r="F64" s="5"/>
      <c r="G64" s="5"/>
      <c r="H64" s="5"/>
    </row>
    <row r="65" spans="2:11">
      <c r="B65" s="5"/>
      <c r="C65" s="5"/>
      <c r="D65" s="5"/>
      <c r="E65" s="5"/>
      <c r="F65" s="5"/>
      <c r="G65" s="5"/>
      <c r="H65" s="5"/>
    </row>
    <row r="66" spans="2:11">
      <c r="B66" s="5"/>
      <c r="C66" s="5"/>
      <c r="D66" s="5"/>
      <c r="E66" s="5"/>
      <c r="F66" s="5"/>
      <c r="G66" s="5"/>
      <c r="H66" s="5"/>
    </row>
    <row r="67" spans="2:11">
      <c r="B67" s="5"/>
      <c r="C67" s="5"/>
      <c r="D67" s="5"/>
      <c r="E67" s="5"/>
      <c r="F67" s="5"/>
      <c r="G67" s="5"/>
      <c r="H67" s="5"/>
    </row>
    <row r="68" spans="2:11">
      <c r="B68" s="5"/>
      <c r="C68" s="5"/>
      <c r="D68" s="5"/>
      <c r="E68" s="5"/>
      <c r="F68" s="5"/>
      <c r="G68" s="5"/>
      <c r="H68" s="5"/>
    </row>
    <row r="69" spans="2:11">
      <c r="B69" s="5"/>
      <c r="C69" s="5"/>
      <c r="D69" s="5"/>
      <c r="E69" s="5"/>
      <c r="F69" s="5"/>
      <c r="G69" s="5"/>
      <c r="H69" s="5"/>
      <c r="K69" s="29"/>
    </row>
    <row r="70" spans="2:11">
      <c r="B70" s="5"/>
      <c r="C70" s="5"/>
      <c r="D70" s="5"/>
      <c r="E70" s="5"/>
      <c r="F70" s="5"/>
      <c r="G70" s="5"/>
      <c r="H70" s="5"/>
      <c r="K70" s="30"/>
    </row>
    <row r="72" spans="2:11">
      <c r="B72" s="5"/>
      <c r="C72" s="5"/>
      <c r="D72" s="5"/>
      <c r="E72" s="5"/>
      <c r="F72" s="5"/>
      <c r="G72" s="5"/>
      <c r="H72" s="5"/>
    </row>
    <row r="73" spans="2:11">
      <c r="B73" s="5"/>
      <c r="C73" s="5"/>
      <c r="D73" s="5"/>
      <c r="E73" s="5"/>
      <c r="F73" s="5"/>
      <c r="G73" s="5"/>
      <c r="H73" s="5"/>
    </row>
    <row r="74" spans="2:11">
      <c r="B74" s="5"/>
      <c r="C74" s="5"/>
      <c r="D74" s="5"/>
      <c r="E74" s="5"/>
      <c r="F74" s="5"/>
      <c r="G74" s="5"/>
      <c r="H74" s="5"/>
    </row>
    <row r="75" spans="2:11">
      <c r="B75" s="5"/>
      <c r="C75" s="5"/>
      <c r="D75" s="5"/>
      <c r="E75" s="5"/>
      <c r="F75" s="5"/>
      <c r="G75" s="5"/>
      <c r="H75" s="5"/>
    </row>
    <row r="76" spans="2:11">
      <c r="B76" s="5"/>
      <c r="C76" s="5"/>
      <c r="D76" s="5"/>
      <c r="E76" s="5"/>
      <c r="F76" s="5"/>
      <c r="G76" s="5"/>
      <c r="H76" s="5"/>
    </row>
    <row r="77" spans="2:11" ht="15" customHeight="1">
      <c r="B77" s="5"/>
      <c r="C77" s="5"/>
      <c r="D77" s="5"/>
      <c r="E77" s="5"/>
      <c r="F77" s="5"/>
      <c r="G77" s="5"/>
      <c r="H77" s="5"/>
      <c r="K77" s="29"/>
    </row>
    <row r="78" spans="2:11">
      <c r="B78" s="5"/>
      <c r="C78" s="5"/>
      <c r="D78" s="5"/>
      <c r="E78" s="5"/>
      <c r="F78" s="5"/>
      <c r="G78" s="5"/>
      <c r="H78" s="5"/>
      <c r="K78" s="30"/>
    </row>
  </sheetData>
  <mergeCells count="197">
    <mergeCell ref="T55:U55"/>
    <mergeCell ref="V55:W55"/>
    <mergeCell ref="T56:U56"/>
    <mergeCell ref="V56:W56"/>
    <mergeCell ref="S57:U57"/>
    <mergeCell ref="V57:W57"/>
    <mergeCell ref="S58:U58"/>
    <mergeCell ref="V58:W58"/>
    <mergeCell ref="P50:S50"/>
    <mergeCell ref="P51:W51"/>
    <mergeCell ref="P52:P53"/>
    <mergeCell ref="Q52:Q53"/>
    <mergeCell ref="R52:R53"/>
    <mergeCell ref="S52:S53"/>
    <mergeCell ref="T52:U53"/>
    <mergeCell ref="V52:W53"/>
    <mergeCell ref="T54:U54"/>
    <mergeCell ref="V54:W54"/>
    <mergeCell ref="AD60:AE60"/>
    <mergeCell ref="AF60:AG60"/>
    <mergeCell ref="Z21:AH21"/>
    <mergeCell ref="Z20:AA20"/>
    <mergeCell ref="AB20:AC20"/>
    <mergeCell ref="AD20:AE20"/>
    <mergeCell ref="Z9:AH9"/>
    <mergeCell ref="Z15:AH15"/>
    <mergeCell ref="Z14:AA14"/>
    <mergeCell ref="AB14:AC14"/>
    <mergeCell ref="AD14:AE14"/>
    <mergeCell ref="Z28:AA28"/>
    <mergeCell ref="AB28:AC28"/>
    <mergeCell ref="AD28:AE28"/>
    <mergeCell ref="Z37:AA37"/>
    <mergeCell ref="AB37:AC37"/>
    <mergeCell ref="AD37:AE37"/>
    <mergeCell ref="Z43:AA43"/>
    <mergeCell ref="AB43:AC43"/>
    <mergeCell ref="AD43:AE43"/>
    <mergeCell ref="Z51:AA51"/>
    <mergeCell ref="AB51:AC51"/>
    <mergeCell ref="AD51:AE51"/>
    <mergeCell ref="AF51:AG51"/>
    <mergeCell ref="Y57:Y58"/>
    <mergeCell ref="Z59:AA59"/>
    <mergeCell ref="AB59:AC59"/>
    <mergeCell ref="AD59:AE59"/>
    <mergeCell ref="AF59:AG59"/>
    <mergeCell ref="Z57:AA57"/>
    <mergeCell ref="AB57:AC57"/>
    <mergeCell ref="AD57:AE57"/>
    <mergeCell ref="AF57:AG57"/>
    <mergeCell ref="Z58:AH58"/>
    <mergeCell ref="Z53:AA53"/>
    <mergeCell ref="AB53:AC53"/>
    <mergeCell ref="AD53:AE53"/>
    <mergeCell ref="AF53:AG53"/>
    <mergeCell ref="AD54:AE54"/>
    <mergeCell ref="AF54:AG54"/>
    <mergeCell ref="Y56:AH56"/>
    <mergeCell ref="Z52:AH52"/>
    <mergeCell ref="AF39:AG39"/>
    <mergeCell ref="Z44:AH44"/>
    <mergeCell ref="Z39:AA39"/>
    <mergeCell ref="AB39:AC39"/>
    <mergeCell ref="AD39:AE39"/>
    <mergeCell ref="AF46:AG46"/>
    <mergeCell ref="AF40:AG40"/>
    <mergeCell ref="Y50:AH50"/>
    <mergeCell ref="Y51:Y52"/>
    <mergeCell ref="Y7:AH7"/>
    <mergeCell ref="Y13:AH13"/>
    <mergeCell ref="Y19:AH19"/>
    <mergeCell ref="Z8:AA8"/>
    <mergeCell ref="AB8:AC8"/>
    <mergeCell ref="AD8:AE8"/>
    <mergeCell ref="Y18:AB18"/>
    <mergeCell ref="AD46:AE46"/>
    <mergeCell ref="AF45:AG45"/>
    <mergeCell ref="Y20:Y21"/>
    <mergeCell ref="AF20:AG20"/>
    <mergeCell ref="Z45:AA45"/>
    <mergeCell ref="AB45:AC45"/>
    <mergeCell ref="AD45:AE45"/>
    <mergeCell ref="Z29:AH29"/>
    <mergeCell ref="Z38:AH38"/>
    <mergeCell ref="Z24:AA24"/>
    <mergeCell ref="AB24:AC24"/>
    <mergeCell ref="AD24:AE24"/>
    <mergeCell ref="AF24:AG24"/>
    <mergeCell ref="AD25:AE25"/>
    <mergeCell ref="Y37:Y38"/>
    <mergeCell ref="AF37:AG37"/>
    <mergeCell ref="Z22:AA22"/>
    <mergeCell ref="Y6:AB6"/>
    <mergeCell ref="AF43:AG43"/>
    <mergeCell ref="Y43:Y44"/>
    <mergeCell ref="Y30:Y32"/>
    <mergeCell ref="AD17:AE17"/>
    <mergeCell ref="AF17:AG17"/>
    <mergeCell ref="Y28:Y29"/>
    <mergeCell ref="AF28:AG28"/>
    <mergeCell ref="AF11:AG11"/>
    <mergeCell ref="Y14:Y15"/>
    <mergeCell ref="AF14:AG14"/>
    <mergeCell ref="AD33:AE33"/>
    <mergeCell ref="AF33:AG33"/>
    <mergeCell ref="Z30:AA30"/>
    <mergeCell ref="AB30:AC30"/>
    <mergeCell ref="AD30:AE30"/>
    <mergeCell ref="AF30:AG30"/>
    <mergeCell ref="Z32:AA32"/>
    <mergeCell ref="AB32:AC32"/>
    <mergeCell ref="AD32:AE32"/>
    <mergeCell ref="AF32:AG32"/>
    <mergeCell ref="AD40:AE40"/>
    <mergeCell ref="Y35:AB35"/>
    <mergeCell ref="Y42:AH42"/>
    <mergeCell ref="AB22:AC22"/>
    <mergeCell ref="AD22:AE22"/>
    <mergeCell ref="AF22:AG22"/>
    <mergeCell ref="AF25:AG25"/>
    <mergeCell ref="Y22:Y24"/>
    <mergeCell ref="Y36:AH36"/>
    <mergeCell ref="Y27:AH27"/>
    <mergeCell ref="Z31:AH31"/>
    <mergeCell ref="Z23:AH23"/>
    <mergeCell ref="AF8:AG8"/>
    <mergeCell ref="AF10:AG10"/>
    <mergeCell ref="Z10:AA10"/>
    <mergeCell ref="AB10:AC10"/>
    <mergeCell ref="AD10:AE10"/>
    <mergeCell ref="Y8:Y9"/>
    <mergeCell ref="AD11:AE11"/>
    <mergeCell ref="Z16:AA16"/>
    <mergeCell ref="AB16:AC16"/>
    <mergeCell ref="AD16:AE16"/>
    <mergeCell ref="AF16:AG16"/>
    <mergeCell ref="S27:U27"/>
    <mergeCell ref="V27:W27"/>
    <mergeCell ref="S13:U13"/>
    <mergeCell ref="S14:U14"/>
    <mergeCell ref="V41:W41"/>
    <mergeCell ref="P35:S35"/>
    <mergeCell ref="S40:U40"/>
    <mergeCell ref="S41:U41"/>
    <mergeCell ref="V40:W40"/>
    <mergeCell ref="T37:U38"/>
    <mergeCell ref="V37:W38"/>
    <mergeCell ref="T39:U39"/>
    <mergeCell ref="V39:W39"/>
    <mergeCell ref="P36:W36"/>
    <mergeCell ref="P37:P38"/>
    <mergeCell ref="Q37:Q38"/>
    <mergeCell ref="R37:R38"/>
    <mergeCell ref="S37:S38"/>
    <mergeCell ref="S26:U26"/>
    <mergeCell ref="V26:W26"/>
    <mergeCell ref="T25:U25"/>
    <mergeCell ref="V25:W25"/>
    <mergeCell ref="T22:U22"/>
    <mergeCell ref="V22:W22"/>
    <mergeCell ref="T23:U23"/>
    <mergeCell ref="V23:W23"/>
    <mergeCell ref="T24:U24"/>
    <mergeCell ref="V24:W24"/>
    <mergeCell ref="P18:S18"/>
    <mergeCell ref="P19:W19"/>
    <mergeCell ref="P20:P21"/>
    <mergeCell ref="Q20:Q21"/>
    <mergeCell ref="R20:R21"/>
    <mergeCell ref="S20:S21"/>
    <mergeCell ref="T20:U21"/>
    <mergeCell ref="V20:W21"/>
    <mergeCell ref="AF62:AG62"/>
    <mergeCell ref="AF61:AG61"/>
    <mergeCell ref="B6:E6"/>
    <mergeCell ref="B18:E18"/>
    <mergeCell ref="B35:E35"/>
    <mergeCell ref="P6:S6"/>
    <mergeCell ref="K38:M38"/>
    <mergeCell ref="T12:U12"/>
    <mergeCell ref="V12:W12"/>
    <mergeCell ref="K22:M22"/>
    <mergeCell ref="K9:M9"/>
    <mergeCell ref="P8:P9"/>
    <mergeCell ref="Q8:Q9"/>
    <mergeCell ref="R8:R9"/>
    <mergeCell ref="T8:U9"/>
    <mergeCell ref="S8:S9"/>
    <mergeCell ref="P7:W7"/>
    <mergeCell ref="V8:W9"/>
    <mergeCell ref="T10:U10"/>
    <mergeCell ref="V10:W10"/>
    <mergeCell ref="T11:U11"/>
    <mergeCell ref="V11:W11"/>
    <mergeCell ref="V13:W13"/>
    <mergeCell ref="V14:W14"/>
  </mergeCells>
  <pageMargins left="0.511811024" right="0.511811024" top="0.78740157499999996" bottom="0.78740157499999996" header="0.31496062000000002" footer="0.31496062000000002"/>
  <legacyDrawing r:id="rId1"/>
  <oleObjects>
    <oleObject progId="CorelDraw.Graphic.9" shapeId="7169" r:id="rId2"/>
    <oleObject progId="CorelDraw.Graphic.9" shapeId="7170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W71"/>
  <sheetViews>
    <sheetView tabSelected="1" view="pageBreakPreview" topLeftCell="A31" zoomScale="90" zoomScaleNormal="90" zoomScaleSheetLayoutView="90" workbookViewId="0">
      <selection activeCell="I59" sqref="I59"/>
    </sheetView>
  </sheetViews>
  <sheetFormatPr defaultRowHeight="15"/>
  <cols>
    <col min="3" max="3" width="7.7109375" customWidth="1"/>
    <col min="4" max="4" width="8.140625" customWidth="1"/>
    <col min="5" max="5" width="8.5703125" style="53" customWidth="1"/>
    <col min="6" max="6" width="9.5703125" bestFit="1" customWidth="1"/>
    <col min="7" max="7" width="7.7109375" customWidth="1"/>
    <col min="8" max="8" width="10.28515625" customWidth="1"/>
    <col min="9" max="9" width="11" customWidth="1"/>
    <col min="10" max="11" width="10.7109375" customWidth="1"/>
    <col min="12" max="12" width="12.140625" customWidth="1"/>
    <col min="14" max="14" width="12.28515625" customWidth="1"/>
  </cols>
  <sheetData>
    <row r="1" spans="3:23" ht="15.75">
      <c r="C1" s="156"/>
      <c r="D1" s="157" t="s">
        <v>56</v>
      </c>
      <c r="E1" s="290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</row>
    <row r="2" spans="3:23">
      <c r="C2" s="160"/>
      <c r="D2" s="160" t="s">
        <v>57</v>
      </c>
      <c r="E2" s="291"/>
      <c r="F2" s="156"/>
      <c r="G2" s="156"/>
      <c r="H2" s="156"/>
      <c r="I2" s="156"/>
      <c r="J2" s="156"/>
      <c r="K2" s="156"/>
      <c r="L2" s="156"/>
    </row>
    <row r="3" spans="3:23">
      <c r="C3" s="160"/>
      <c r="D3" s="160"/>
      <c r="E3" s="291"/>
      <c r="F3" s="156"/>
      <c r="G3" s="156"/>
      <c r="H3" s="156"/>
      <c r="I3" s="156"/>
      <c r="J3" s="156"/>
      <c r="K3" s="156"/>
      <c r="L3" s="156"/>
    </row>
    <row r="4" spans="3:23">
      <c r="C4" s="160"/>
      <c r="D4" s="160"/>
      <c r="E4" s="291"/>
      <c r="F4" s="156"/>
      <c r="G4" s="156"/>
      <c r="H4" s="156"/>
      <c r="I4" s="156"/>
      <c r="J4" s="156"/>
      <c r="K4" s="156"/>
      <c r="L4" s="156"/>
    </row>
    <row r="5" spans="3:23">
      <c r="C5" s="33" t="s">
        <v>2</v>
      </c>
      <c r="D5" s="417" t="s">
        <v>244</v>
      </c>
      <c r="E5" s="417"/>
      <c r="F5" s="417"/>
      <c r="G5" s="417"/>
      <c r="H5" s="418"/>
      <c r="I5" s="33" t="s">
        <v>3</v>
      </c>
      <c r="J5" s="421" t="s">
        <v>243</v>
      </c>
      <c r="K5" s="421"/>
      <c r="L5" s="421"/>
      <c r="M5" s="421"/>
      <c r="N5" s="421"/>
    </row>
    <row r="6" spans="3:23">
      <c r="C6" s="162"/>
      <c r="D6" s="419"/>
      <c r="E6" s="419"/>
      <c r="F6" s="419"/>
      <c r="G6" s="419"/>
      <c r="H6" s="420"/>
      <c r="I6" s="162"/>
      <c r="J6" s="421"/>
      <c r="K6" s="421"/>
      <c r="L6" s="421"/>
      <c r="M6" s="421"/>
      <c r="N6" s="421"/>
    </row>
    <row r="7" spans="3:23" ht="15" customHeight="1">
      <c r="C7" s="406" t="s">
        <v>252</v>
      </c>
      <c r="D7" s="407"/>
      <c r="E7" s="407"/>
      <c r="F7" s="407"/>
      <c r="G7" s="407"/>
      <c r="H7" s="408"/>
      <c r="I7" s="658" t="s">
        <v>59</v>
      </c>
      <c r="J7" s="659" t="s">
        <v>254</v>
      </c>
      <c r="K7" s="660"/>
      <c r="L7" s="660"/>
      <c r="M7" s="660"/>
      <c r="N7" s="661"/>
    </row>
    <row r="8" spans="3:23" ht="15" customHeight="1">
      <c r="C8" s="409"/>
      <c r="D8" s="410"/>
      <c r="E8" s="410"/>
      <c r="F8" s="410"/>
      <c r="G8" s="410"/>
      <c r="H8" s="411"/>
      <c r="I8" s="662"/>
      <c r="J8" s="663"/>
      <c r="K8" s="664"/>
      <c r="L8" s="664"/>
      <c r="M8" s="664"/>
      <c r="N8" s="665"/>
    </row>
    <row r="9" spans="3:23" ht="16.5">
      <c r="C9" s="160"/>
      <c r="D9" s="163"/>
      <c r="E9" s="292"/>
      <c r="F9" s="156"/>
      <c r="G9" s="156"/>
      <c r="H9" s="156"/>
      <c r="I9" s="156"/>
      <c r="J9" s="156"/>
      <c r="K9" s="156"/>
      <c r="L9" s="156"/>
    </row>
    <row r="10" spans="3:23" ht="20.25">
      <c r="C10" s="422" t="s">
        <v>251</v>
      </c>
      <c r="D10" s="422"/>
      <c r="E10" s="422"/>
      <c r="F10" s="422"/>
      <c r="G10" s="422"/>
      <c r="H10" s="422"/>
      <c r="I10" s="422"/>
      <c r="J10" s="422"/>
      <c r="K10" s="422"/>
      <c r="L10" s="422"/>
      <c r="M10" s="327"/>
    </row>
    <row r="12" spans="3:23" ht="15" customHeight="1">
      <c r="C12" s="426" t="s">
        <v>62</v>
      </c>
      <c r="D12" s="427"/>
      <c r="E12" s="423" t="s">
        <v>63</v>
      </c>
      <c r="F12" s="423" t="s">
        <v>64</v>
      </c>
      <c r="G12" s="437" t="s">
        <v>197</v>
      </c>
      <c r="H12" s="423" t="s">
        <v>227</v>
      </c>
      <c r="I12" s="423" t="s">
        <v>228</v>
      </c>
      <c r="J12" s="445" t="s">
        <v>78</v>
      </c>
      <c r="K12" s="445"/>
      <c r="L12" s="423" t="s">
        <v>79</v>
      </c>
    </row>
    <row r="13" spans="3:23" ht="15" customHeight="1">
      <c r="C13" s="428"/>
      <c r="D13" s="429"/>
      <c r="E13" s="424"/>
      <c r="F13" s="424"/>
      <c r="G13" s="438"/>
      <c r="H13" s="424"/>
      <c r="I13" s="424"/>
      <c r="J13" s="412" t="s">
        <v>83</v>
      </c>
      <c r="K13" s="299" t="s">
        <v>84</v>
      </c>
      <c r="L13" s="424"/>
    </row>
    <row r="14" spans="3:23" ht="26.25">
      <c r="C14" s="428"/>
      <c r="D14" s="429"/>
      <c r="E14" s="424"/>
      <c r="F14" s="424"/>
      <c r="G14" s="438"/>
      <c r="H14" s="425"/>
      <c r="I14" s="424"/>
      <c r="J14" s="413"/>
      <c r="K14" s="300" t="s">
        <v>85</v>
      </c>
      <c r="L14" s="424"/>
    </row>
    <row r="15" spans="3:23" ht="15" customHeight="1">
      <c r="C15" s="430" t="s">
        <v>91</v>
      </c>
      <c r="D15" s="430"/>
      <c r="E15" s="424"/>
      <c r="F15" s="424"/>
      <c r="G15" s="438"/>
      <c r="H15" s="432" t="s">
        <v>85</v>
      </c>
      <c r="I15" s="424"/>
      <c r="J15" s="413"/>
      <c r="K15" s="300" t="s">
        <v>86</v>
      </c>
      <c r="L15" s="424"/>
    </row>
    <row r="16" spans="3:23" ht="15" customHeight="1">
      <c r="C16" s="430"/>
      <c r="D16" s="430"/>
      <c r="E16" s="424"/>
      <c r="F16" s="424"/>
      <c r="G16" s="438"/>
      <c r="H16" s="433"/>
      <c r="I16" s="424"/>
      <c r="J16" s="413"/>
      <c r="K16" s="300" t="s">
        <v>94</v>
      </c>
      <c r="L16" s="424"/>
    </row>
    <row r="17" spans="2:14">
      <c r="C17" s="430"/>
      <c r="D17" s="430"/>
      <c r="E17" s="425"/>
      <c r="F17" s="425"/>
      <c r="G17" s="439"/>
      <c r="H17" s="434"/>
      <c r="I17" s="425"/>
      <c r="J17" s="414"/>
      <c r="K17" s="300" t="s">
        <v>99</v>
      </c>
      <c r="L17" s="425"/>
    </row>
    <row r="18" spans="2:14" s="293" customFormat="1">
      <c r="C18" s="431" t="s">
        <v>205</v>
      </c>
      <c r="D18" s="431"/>
      <c r="E18" s="431">
        <v>8</v>
      </c>
      <c r="F18" s="431">
        <v>0.8</v>
      </c>
      <c r="G18" s="440">
        <v>1.2</v>
      </c>
      <c r="H18" s="435">
        <f>E18*G18*2</f>
        <v>19.2</v>
      </c>
      <c r="I18" s="444">
        <f>E18*F18*G18</f>
        <v>7.68</v>
      </c>
      <c r="J18" s="442">
        <f>I18-$E$54*E18</f>
        <v>6.86569728</v>
      </c>
      <c r="K18" s="295">
        <f>IF(R18=0,0,H18-$J$99*E18-J18-AA18-AB18-AF18-AG18)</f>
        <v>0</v>
      </c>
      <c r="L18" s="443">
        <f>I18-J18</f>
        <v>0.8143027199999997</v>
      </c>
      <c r="N18" s="298"/>
    </row>
    <row r="19" spans="2:14" s="293" customFormat="1">
      <c r="C19" s="431" t="s">
        <v>195</v>
      </c>
      <c r="D19" s="431"/>
      <c r="E19" s="431"/>
      <c r="F19" s="431"/>
      <c r="G19" s="441"/>
      <c r="H19" s="436"/>
      <c r="I19" s="444"/>
      <c r="J19" s="442"/>
      <c r="K19" s="295">
        <f>IF(R19=0,0,(H19+H18)-$J$99*E18-J18-AA19-AB19-AF19-AG19)</f>
        <v>0</v>
      </c>
      <c r="L19" s="443"/>
    </row>
    <row r="20" spans="2:14">
      <c r="B20" s="7"/>
      <c r="C20" s="447" t="s">
        <v>208</v>
      </c>
      <c r="D20" s="448"/>
      <c r="E20" s="456">
        <v>15</v>
      </c>
      <c r="F20" s="456">
        <v>0.8</v>
      </c>
      <c r="G20" s="458">
        <v>1.2</v>
      </c>
      <c r="H20" s="452">
        <f>E20*G20*2</f>
        <v>36</v>
      </c>
      <c r="I20" s="457">
        <f>E20*F20*G20</f>
        <v>14.399999999999999</v>
      </c>
      <c r="J20" s="472">
        <f>I20-$E$54*E20</f>
        <v>12.873182399999999</v>
      </c>
      <c r="K20" s="329">
        <f>IF(R20=0,0,H20-$J$99*E20-J20-AA20-AB20-AF20-AG20)</f>
        <v>0</v>
      </c>
      <c r="L20" s="446">
        <f>I20-J20</f>
        <v>1.5268175999999993</v>
      </c>
      <c r="M20" s="7"/>
    </row>
    <row r="21" spans="2:14">
      <c r="B21" s="7"/>
      <c r="C21" s="447" t="s">
        <v>195</v>
      </c>
      <c r="D21" s="448"/>
      <c r="E21" s="456"/>
      <c r="F21" s="456"/>
      <c r="G21" s="459"/>
      <c r="H21" s="453"/>
      <c r="I21" s="457"/>
      <c r="J21" s="472"/>
      <c r="K21" s="329">
        <f>IF(R21=0,0,(H21+H20)-$J$99*E20-J20-AA21-AB21-AF21-AG21)</f>
        <v>0</v>
      </c>
      <c r="L21" s="446"/>
      <c r="M21" s="7"/>
    </row>
    <row r="22" spans="2:14">
      <c r="B22" s="7"/>
      <c r="C22" s="449" t="s">
        <v>209</v>
      </c>
      <c r="D22" s="449"/>
      <c r="E22" s="449">
        <v>3</v>
      </c>
      <c r="F22" s="449">
        <v>0.8</v>
      </c>
      <c r="G22" s="460">
        <v>1.2</v>
      </c>
      <c r="H22" s="454">
        <f>E22*G22*2</f>
        <v>7.1999999999999993</v>
      </c>
      <c r="I22" s="444">
        <f>E22*F22*G22</f>
        <v>2.8800000000000003</v>
      </c>
      <c r="J22" s="450">
        <f>I22-$E$54*E22</f>
        <v>2.5746364800000006</v>
      </c>
      <c r="K22" s="328">
        <f>IF(R22=0,0,H22-$J$99*E22-J22-AA22-AB22-AF22-AG22)</f>
        <v>0</v>
      </c>
      <c r="L22" s="451">
        <f>I22-J22</f>
        <v>0.30536351999999978</v>
      </c>
      <c r="M22" s="7"/>
    </row>
    <row r="23" spans="2:14">
      <c r="B23" s="7"/>
      <c r="C23" s="449" t="s">
        <v>253</v>
      </c>
      <c r="D23" s="449"/>
      <c r="E23" s="449"/>
      <c r="F23" s="449"/>
      <c r="G23" s="461"/>
      <c r="H23" s="455"/>
      <c r="I23" s="444"/>
      <c r="J23" s="450"/>
      <c r="K23" s="328">
        <f>IF(R23=0,0,(H23+H22)-$J$99*E22-J22-AA23-AB23-AF23-AG23)</f>
        <v>0</v>
      </c>
      <c r="L23" s="451"/>
      <c r="M23" s="7"/>
    </row>
    <row r="24" spans="2:14">
      <c r="B24" s="7"/>
      <c r="C24" s="447" t="s">
        <v>210</v>
      </c>
      <c r="D24" s="448"/>
      <c r="E24" s="456">
        <v>4</v>
      </c>
      <c r="F24" s="456">
        <v>0.8</v>
      </c>
      <c r="G24" s="458">
        <v>1.2</v>
      </c>
      <c r="H24" s="452">
        <f>E24*G24*2</f>
        <v>9.6</v>
      </c>
      <c r="I24" s="457">
        <f>E24*F24*G24</f>
        <v>3.84</v>
      </c>
      <c r="J24" s="472">
        <f>I24-$E$54*E24</f>
        <v>3.43284864</v>
      </c>
      <c r="K24" s="329">
        <f>IF(R24=0,0,H24-$J$99*E24-J24-AA24-AB24-AF24-AG24)</f>
        <v>0</v>
      </c>
      <c r="L24" s="446">
        <f>I24-J24</f>
        <v>0.40715135999999985</v>
      </c>
      <c r="M24" s="7"/>
    </row>
    <row r="25" spans="2:14">
      <c r="B25" s="7"/>
      <c r="C25" s="456" t="s">
        <v>253</v>
      </c>
      <c r="D25" s="456"/>
      <c r="E25" s="456"/>
      <c r="F25" s="456"/>
      <c r="G25" s="459"/>
      <c r="H25" s="453"/>
      <c r="I25" s="457"/>
      <c r="J25" s="472"/>
      <c r="K25" s="329">
        <f>IF(R25=0,0,(H25+H24)-$J$99*E24-J24-AA25-AB25-AF25-AG25)</f>
        <v>0</v>
      </c>
      <c r="L25" s="446"/>
      <c r="M25" s="7"/>
    </row>
    <row r="26" spans="2:14">
      <c r="B26" s="7"/>
      <c r="C26" s="449" t="s">
        <v>211</v>
      </c>
      <c r="D26" s="449"/>
      <c r="E26" s="449">
        <v>6</v>
      </c>
      <c r="F26" s="449">
        <v>0.8</v>
      </c>
      <c r="G26" s="460">
        <v>1.2</v>
      </c>
      <c r="H26" s="454">
        <f>E26*G26*2</f>
        <v>14.399999999999999</v>
      </c>
      <c r="I26" s="444">
        <f>E26*F26*G26</f>
        <v>5.7600000000000007</v>
      </c>
      <c r="J26" s="450">
        <f>I26-$E$54*E26</f>
        <v>5.1492729600000011</v>
      </c>
      <c r="K26" s="328">
        <f>IF(R26=0,0,H26-$J$99*E26-J26-AA26-AB26-AF26-AG26)</f>
        <v>0</v>
      </c>
      <c r="L26" s="451">
        <f>I26-J26</f>
        <v>0.61072703999999955</v>
      </c>
      <c r="M26" s="7"/>
    </row>
    <row r="27" spans="2:14">
      <c r="B27" s="7"/>
      <c r="C27" s="449" t="s">
        <v>219</v>
      </c>
      <c r="D27" s="449"/>
      <c r="E27" s="449"/>
      <c r="F27" s="449"/>
      <c r="G27" s="461"/>
      <c r="H27" s="455"/>
      <c r="I27" s="444"/>
      <c r="J27" s="450"/>
      <c r="K27" s="328">
        <f>IF(R27=0,0,(H27+H26)-$J$99*E26-J26-AA27-AB27-AF27-AG27)</f>
        <v>0</v>
      </c>
      <c r="L27" s="451"/>
      <c r="M27" s="7"/>
    </row>
    <row r="28" spans="2:14">
      <c r="B28" s="7"/>
      <c r="C28" s="447" t="s">
        <v>212</v>
      </c>
      <c r="D28" s="448"/>
      <c r="E28" s="456">
        <v>2</v>
      </c>
      <c r="F28" s="456">
        <v>0.8</v>
      </c>
      <c r="G28" s="458">
        <v>1.2</v>
      </c>
      <c r="H28" s="452">
        <f>E28*G28*2</f>
        <v>4.8</v>
      </c>
      <c r="I28" s="457">
        <f>E28*F28*G28</f>
        <v>1.92</v>
      </c>
      <c r="J28" s="472">
        <f>I28-$E$54*E28</f>
        <v>1.71642432</v>
      </c>
      <c r="K28" s="329">
        <f>IF(R28=0,0,H28-$J$99*E28-J28-AA28-AB28-AF28-AG28)</f>
        <v>0</v>
      </c>
      <c r="L28" s="446">
        <f>I28-J28</f>
        <v>0.20357567999999993</v>
      </c>
      <c r="M28" s="7"/>
    </row>
    <row r="29" spans="2:14">
      <c r="B29" s="7"/>
      <c r="C29" s="456" t="s">
        <v>219</v>
      </c>
      <c r="D29" s="456"/>
      <c r="E29" s="456"/>
      <c r="F29" s="456"/>
      <c r="G29" s="459"/>
      <c r="H29" s="453"/>
      <c r="I29" s="457"/>
      <c r="J29" s="472"/>
      <c r="K29" s="329">
        <f>IF(R29=0,0,(H29+H28)-$J$99*E28-J28-AA29-AB29-AF29-AG29)</f>
        <v>0</v>
      </c>
      <c r="L29" s="446"/>
      <c r="M29" s="7"/>
    </row>
    <row r="30" spans="2:14">
      <c r="C30" s="431" t="s">
        <v>213</v>
      </c>
      <c r="D30" s="431"/>
      <c r="E30" s="431">
        <v>15</v>
      </c>
      <c r="F30" s="431">
        <v>0.8</v>
      </c>
      <c r="G30" s="440">
        <v>1.2</v>
      </c>
      <c r="H30" s="435">
        <f>E30*G30*2</f>
        <v>36</v>
      </c>
      <c r="I30" s="444">
        <f>E30*F30*G30</f>
        <v>14.399999999999999</v>
      </c>
      <c r="J30" s="442">
        <f>I30-$E$54*E30</f>
        <v>12.873182399999999</v>
      </c>
      <c r="K30" s="295">
        <f>IF(R30=0,0,H30-$J$99*E30-J30-AA30-AB30-AF30-AG30)</f>
        <v>0</v>
      </c>
      <c r="L30" s="443">
        <f>I30-J30</f>
        <v>1.5268175999999993</v>
      </c>
    </row>
    <row r="31" spans="2:14">
      <c r="C31" s="431" t="s">
        <v>220</v>
      </c>
      <c r="D31" s="431"/>
      <c r="E31" s="431"/>
      <c r="F31" s="431"/>
      <c r="G31" s="441"/>
      <c r="H31" s="436"/>
      <c r="I31" s="444"/>
      <c r="J31" s="442"/>
      <c r="K31" s="295">
        <f>IF(R31=0,0,(H31+H30)-$J$99*E30-J30-AA31-AB31-AF31-AG31)</f>
        <v>0</v>
      </c>
      <c r="L31" s="443"/>
    </row>
    <row r="32" spans="2:14">
      <c r="C32" s="466" t="s">
        <v>214</v>
      </c>
      <c r="D32" s="467"/>
      <c r="E32" s="468">
        <v>13</v>
      </c>
      <c r="F32" s="468">
        <v>0.8</v>
      </c>
      <c r="G32" s="462">
        <v>1.2</v>
      </c>
      <c r="H32" s="464">
        <f>E32*G32*2</f>
        <v>31.2</v>
      </c>
      <c r="I32" s="457">
        <f>E32*F32*G32</f>
        <v>12.48</v>
      </c>
      <c r="J32" s="471">
        <f>I32-$E$54*E32</f>
        <v>11.156758080000001</v>
      </c>
      <c r="K32" s="297">
        <f>IF(R32=0,0,H32-$J$99*E32-J32-AA32-AB32-AF32-AG32)</f>
        <v>0</v>
      </c>
      <c r="L32" s="469">
        <f>I32-J32</f>
        <v>1.3232419199999992</v>
      </c>
    </row>
    <row r="33" spans="3:13">
      <c r="C33" s="468" t="s">
        <v>220</v>
      </c>
      <c r="D33" s="468"/>
      <c r="E33" s="468"/>
      <c r="F33" s="468"/>
      <c r="G33" s="463"/>
      <c r="H33" s="465"/>
      <c r="I33" s="457"/>
      <c r="J33" s="471"/>
      <c r="K33" s="297">
        <f>IF(R33=0,0,(H33+H32)-$J$99*E32-J32-AA33-AB33-AF33-AG33)</f>
        <v>0</v>
      </c>
      <c r="L33" s="469"/>
    </row>
    <row r="34" spans="3:13">
      <c r="C34" s="431" t="s">
        <v>215</v>
      </c>
      <c r="D34" s="431"/>
      <c r="E34" s="431">
        <v>7</v>
      </c>
      <c r="F34" s="431">
        <v>0.8</v>
      </c>
      <c r="G34" s="440">
        <v>1.2</v>
      </c>
      <c r="H34" s="435">
        <f>E34*G34*2</f>
        <v>16.8</v>
      </c>
      <c r="I34" s="444">
        <f>E34*F34*G34</f>
        <v>6.7200000000000006</v>
      </c>
      <c r="J34" s="442">
        <f>I34-$E$54*E34</f>
        <v>6.007485120000001</v>
      </c>
      <c r="K34" s="295">
        <f>IF(R34=0,0,H34-$J$99*E34-J34-AA34-AB34-AF34-AG34)</f>
        <v>0</v>
      </c>
      <c r="L34" s="443">
        <f>I34-J34</f>
        <v>0.71251487999999963</v>
      </c>
    </row>
    <row r="35" spans="3:13">
      <c r="C35" s="431" t="s">
        <v>221</v>
      </c>
      <c r="D35" s="431"/>
      <c r="E35" s="431"/>
      <c r="F35" s="431"/>
      <c r="G35" s="441"/>
      <c r="H35" s="436"/>
      <c r="I35" s="444"/>
      <c r="J35" s="442"/>
      <c r="K35" s="295">
        <f>IF(R35=0,0,(H35+H34)-$J$99*E34-J34-AA35-AB35-AF35-AG35)</f>
        <v>0</v>
      </c>
      <c r="L35" s="443"/>
    </row>
    <row r="36" spans="3:13">
      <c r="C36" s="466" t="s">
        <v>216</v>
      </c>
      <c r="D36" s="467"/>
      <c r="E36" s="468">
        <v>3</v>
      </c>
      <c r="F36" s="468">
        <v>0.8</v>
      </c>
      <c r="G36" s="462">
        <v>1.2</v>
      </c>
      <c r="H36" s="464">
        <f>E36*G36*2</f>
        <v>7.1999999999999993</v>
      </c>
      <c r="I36" s="457">
        <f>E36*F36*G36</f>
        <v>2.8800000000000003</v>
      </c>
      <c r="J36" s="471">
        <f>I36-$E$54*E36</f>
        <v>2.5746364800000006</v>
      </c>
      <c r="K36" s="297">
        <f>IF(R36=0,0,H36-$J$99*E36-J36-AA36-AB36-AF36-AG36)</f>
        <v>0</v>
      </c>
      <c r="L36" s="469">
        <f>I36-J36</f>
        <v>0.30536351999999978</v>
      </c>
    </row>
    <row r="37" spans="3:13">
      <c r="C37" s="468" t="s">
        <v>221</v>
      </c>
      <c r="D37" s="468"/>
      <c r="E37" s="468"/>
      <c r="F37" s="468"/>
      <c r="G37" s="463"/>
      <c r="H37" s="465"/>
      <c r="I37" s="457"/>
      <c r="J37" s="471"/>
      <c r="K37" s="297">
        <f>IF(R37=0,0,(H37+H36)-$J$99*E36-J36-AA37-AB37-AF37-AG37)</f>
        <v>0</v>
      </c>
      <c r="L37" s="469"/>
    </row>
    <row r="38" spans="3:13">
      <c r="C38" s="431" t="s">
        <v>217</v>
      </c>
      <c r="D38" s="431"/>
      <c r="E38" s="431">
        <v>8</v>
      </c>
      <c r="F38" s="431">
        <v>0.8</v>
      </c>
      <c r="G38" s="440">
        <v>1.2</v>
      </c>
      <c r="H38" s="435">
        <f>E38*G38*2</f>
        <v>19.2</v>
      </c>
      <c r="I38" s="444">
        <f>E38*F38*G38</f>
        <v>7.68</v>
      </c>
      <c r="J38" s="442">
        <f>I38-$E$54*E38</f>
        <v>6.86569728</v>
      </c>
      <c r="K38" s="295">
        <f>IF(R38=0,0,H38-$J$99*E38-J38-AA38-AB38-AF38-AG38)</f>
        <v>0</v>
      </c>
      <c r="L38" s="443">
        <f>I38-J38</f>
        <v>0.8143027199999997</v>
      </c>
    </row>
    <row r="39" spans="3:13">
      <c r="C39" s="431" t="s">
        <v>226</v>
      </c>
      <c r="D39" s="431"/>
      <c r="E39" s="431"/>
      <c r="F39" s="431"/>
      <c r="G39" s="441"/>
      <c r="H39" s="436"/>
      <c r="I39" s="444"/>
      <c r="J39" s="442"/>
      <c r="K39" s="295">
        <f>IF(R39=0,0,(H39+H38)-$J$99*E38-J38-AA39-AB39-AF39-AG39)</f>
        <v>0</v>
      </c>
      <c r="L39" s="443"/>
    </row>
    <row r="40" spans="3:13">
      <c r="C40" s="466" t="s">
        <v>218</v>
      </c>
      <c r="D40" s="467"/>
      <c r="E40" s="468">
        <v>9</v>
      </c>
      <c r="F40" s="468">
        <v>0.8</v>
      </c>
      <c r="G40" s="462">
        <v>1.2</v>
      </c>
      <c r="H40" s="464">
        <f>E40*G40*2</f>
        <v>21.599999999999998</v>
      </c>
      <c r="I40" s="457">
        <f>E40*F40*G40</f>
        <v>8.64</v>
      </c>
      <c r="J40" s="471">
        <f>I40-$E$54*E40</f>
        <v>7.7239094400000008</v>
      </c>
      <c r="K40" s="297">
        <f>IF(R40=0,0,H40-$J$99*E40-J40-AA40-AB40-AF40-AG40)</f>
        <v>0</v>
      </c>
      <c r="L40" s="469">
        <f>I40-J40</f>
        <v>0.91609055999999978</v>
      </c>
    </row>
    <row r="41" spans="3:13">
      <c r="C41" s="468" t="s">
        <v>226</v>
      </c>
      <c r="D41" s="468"/>
      <c r="E41" s="468"/>
      <c r="F41" s="468"/>
      <c r="G41" s="463"/>
      <c r="H41" s="465"/>
      <c r="I41" s="457"/>
      <c r="J41" s="471"/>
      <c r="K41" s="297">
        <f>IF(R41=0,0,(H41+H40)-$J$99*E40-J40-AA41-AB41-AF41-AG41)</f>
        <v>0</v>
      </c>
      <c r="L41" s="469"/>
    </row>
    <row r="42" spans="3:13">
      <c r="C42" s="470" t="s">
        <v>45</v>
      </c>
      <c r="D42" s="470"/>
      <c r="E42" s="309">
        <f>SUM(E18:E41)</f>
        <v>93</v>
      </c>
      <c r="F42" s="310"/>
      <c r="G42" s="310"/>
      <c r="H42" s="309">
        <f>SUM(H18:H41)</f>
        <v>223.2</v>
      </c>
      <c r="I42" s="309">
        <f>SUM(I18:I41)</f>
        <v>89.279999999999987</v>
      </c>
      <c r="J42" s="311">
        <f>SUM(J18:J41)</f>
        <v>79.813730880000008</v>
      </c>
      <c r="K42" s="312">
        <f>SUM(K18:K41)</f>
        <v>0</v>
      </c>
      <c r="L42" s="311">
        <f>SUM(L18:L41)</f>
        <v>9.4662691199999962</v>
      </c>
    </row>
    <row r="43" spans="3:13" s="294" customFormat="1">
      <c r="C43"/>
      <c r="D43"/>
      <c r="E43" s="289"/>
      <c r="F43"/>
      <c r="G43"/>
      <c r="H43"/>
      <c r="I43"/>
      <c r="J43"/>
      <c r="K43"/>
      <c r="L43"/>
      <c r="M43"/>
    </row>
    <row r="44" spans="3:13">
      <c r="C44" s="416" t="s">
        <v>144</v>
      </c>
      <c r="D44" s="416"/>
      <c r="E44" s="416"/>
      <c r="F44" s="416"/>
      <c r="G44" s="416"/>
      <c r="H44" s="416"/>
      <c r="I44" s="416"/>
      <c r="J44" s="416"/>
      <c r="K44" s="416"/>
      <c r="L44" s="416"/>
    </row>
    <row r="45" spans="3:13" ht="45">
      <c r="C45" s="283" t="s">
        <v>201</v>
      </c>
      <c r="D45" s="283" t="s">
        <v>202</v>
      </c>
      <c r="E45" s="283" t="s">
        <v>203</v>
      </c>
      <c r="F45" s="283" t="s">
        <v>204</v>
      </c>
      <c r="G45" s="285" t="s">
        <v>198</v>
      </c>
      <c r="H45" s="283" t="s">
        <v>206</v>
      </c>
      <c r="I45" s="283" t="s">
        <v>207</v>
      </c>
      <c r="J45" s="285" t="s">
        <v>241</v>
      </c>
      <c r="K45" s="285" t="s">
        <v>239</v>
      </c>
      <c r="L45" s="285" t="s">
        <v>240</v>
      </c>
    </row>
    <row r="46" spans="3:13">
      <c r="C46" s="286">
        <v>1.0900000000000001</v>
      </c>
      <c r="D46" s="286">
        <v>0.62</v>
      </c>
      <c r="E46" s="286">
        <v>1.2</v>
      </c>
      <c r="F46" s="288">
        <f>C46*D46</f>
        <v>0.67580000000000007</v>
      </c>
      <c r="G46" s="286">
        <f>F46*E46</f>
        <v>0.81096000000000001</v>
      </c>
      <c r="H46" s="286">
        <f>C46+1.4</f>
        <v>2.4900000000000002</v>
      </c>
      <c r="I46" s="286">
        <f>D46+1.4</f>
        <v>2.02</v>
      </c>
      <c r="J46" s="288">
        <f>H46*I46*E46</f>
        <v>6.0357600000000007</v>
      </c>
      <c r="K46" s="320">
        <f>J46-G46</f>
        <v>5.224800000000001</v>
      </c>
      <c r="L46" s="325">
        <f>(H46+I46)*2*1.35</f>
        <v>12.177</v>
      </c>
    </row>
    <row r="48" spans="3:13">
      <c r="C48" s="416" t="s">
        <v>167</v>
      </c>
      <c r="D48" s="416"/>
      <c r="E48" s="416"/>
      <c r="F48" s="416"/>
      <c r="G48" s="416"/>
      <c r="H48" s="416"/>
      <c r="I48" s="416"/>
      <c r="J48" s="416"/>
      <c r="K48" s="416"/>
      <c r="L48" s="416"/>
      <c r="M48" s="284"/>
    </row>
    <row r="49" spans="1:15" ht="45">
      <c r="C49" s="283" t="s">
        <v>201</v>
      </c>
      <c r="D49" s="283" t="s">
        <v>202</v>
      </c>
      <c r="E49" s="283" t="s">
        <v>203</v>
      </c>
      <c r="F49" s="283" t="s">
        <v>204</v>
      </c>
      <c r="G49" s="285" t="s">
        <v>198</v>
      </c>
      <c r="H49" s="283" t="s">
        <v>199</v>
      </c>
      <c r="I49" s="283" t="s">
        <v>200</v>
      </c>
      <c r="J49" s="285" t="s">
        <v>242</v>
      </c>
      <c r="K49" s="285" t="s">
        <v>239</v>
      </c>
      <c r="L49" s="285" t="s">
        <v>240</v>
      </c>
      <c r="M49" s="284"/>
    </row>
    <row r="50" spans="1:15">
      <c r="C50" s="286">
        <v>1.746</v>
      </c>
      <c r="D50" s="286">
        <v>2</v>
      </c>
      <c r="E50" s="286">
        <v>1.7</v>
      </c>
      <c r="F50" s="288">
        <f>C50*D50</f>
        <v>3.492</v>
      </c>
      <c r="G50" s="286">
        <f>F50*E50</f>
        <v>5.9363999999999999</v>
      </c>
      <c r="H50" s="286">
        <f>C50+1.6</f>
        <v>3.3460000000000001</v>
      </c>
      <c r="I50" s="286">
        <f>D50+1.6</f>
        <v>3.6</v>
      </c>
      <c r="J50" s="288">
        <f>H50*I50*2.4</f>
        <v>28.90944</v>
      </c>
      <c r="K50" s="320">
        <f>J50-G50</f>
        <v>22.973040000000001</v>
      </c>
      <c r="L50" s="324">
        <f>(H50+I50)*2*2.5</f>
        <v>34.729999999999997</v>
      </c>
      <c r="M50" s="284"/>
    </row>
    <row r="51" spans="1:15" s="284" customFormat="1">
      <c r="A51" s="293"/>
      <c r="B51" s="293"/>
      <c r="C51" s="287"/>
      <c r="D51" s="287"/>
      <c r="E51" s="287"/>
      <c r="F51" s="287"/>
      <c r="G51" s="287"/>
      <c r="H51" s="287"/>
      <c r="I51" s="287"/>
      <c r="J51" s="287"/>
      <c r="K51" s="287"/>
    </row>
    <row r="52" spans="1:15" s="284" customFormat="1">
      <c r="A52" s="293"/>
      <c r="B52" s="293"/>
      <c r="C52"/>
      <c r="D52"/>
      <c r="E52" s="53"/>
      <c r="F52"/>
      <c r="G52"/>
      <c r="H52"/>
      <c r="I52"/>
      <c r="J52"/>
      <c r="K52"/>
      <c r="L52"/>
      <c r="M52"/>
    </row>
    <row r="53" spans="1:15" s="284" customFormat="1">
      <c r="A53" s="293"/>
      <c r="B53" s="293"/>
      <c r="C53"/>
      <c r="D53"/>
      <c r="E53" s="53"/>
      <c r="F53"/>
      <c r="G53"/>
      <c r="H53"/>
      <c r="I53"/>
      <c r="J53"/>
      <c r="K53"/>
      <c r="L53"/>
      <c r="M53"/>
      <c r="N53" s="293"/>
      <c r="O53" s="293"/>
    </row>
    <row r="54" spans="1:15" s="284" customFormat="1">
      <c r="A54" s="293"/>
      <c r="B54"/>
      <c r="C54" t="s">
        <v>159</v>
      </c>
      <c r="D54"/>
      <c r="E54">
        <f>3.1416*(0.36/2)^2*1</f>
        <v>0.10178783999999999</v>
      </c>
      <c r="F54" t="s">
        <v>160</v>
      </c>
      <c r="G54"/>
      <c r="H54"/>
      <c r="I54"/>
      <c r="J54"/>
      <c r="K54"/>
      <c r="L54"/>
      <c r="M54"/>
      <c r="N54" s="293"/>
      <c r="O54" s="293"/>
    </row>
    <row r="55" spans="1:15" s="284" customFormat="1">
      <c r="A55" s="293"/>
      <c r="B55"/>
      <c r="C55"/>
      <c r="D55"/>
      <c r="E55" s="53"/>
      <c r="F55"/>
      <c r="G55"/>
      <c r="H55"/>
      <c r="I55"/>
      <c r="J55"/>
      <c r="K55"/>
      <c r="L55"/>
      <c r="M55"/>
      <c r="N55" s="293"/>
      <c r="O55" s="293"/>
    </row>
    <row r="56" spans="1:15" s="284" customFormat="1">
      <c r="A56" s="293"/>
      <c r="B56"/>
      <c r="C56" s="415" t="s">
        <v>247</v>
      </c>
      <c r="D56" s="415"/>
      <c r="E56" s="415"/>
      <c r="F56"/>
      <c r="G56"/>
      <c r="H56"/>
      <c r="I56"/>
      <c r="J56"/>
      <c r="K56"/>
      <c r="L56"/>
      <c r="M56"/>
      <c r="N56" s="293"/>
      <c r="O56" s="293"/>
    </row>
    <row r="57" spans="1:15" s="284" customFormat="1">
      <c r="A57" s="293"/>
      <c r="B57"/>
      <c r="C57" s="415" t="s">
        <v>245</v>
      </c>
      <c r="D57" s="415"/>
      <c r="E57" s="321">
        <f>I42+J46*12</f>
        <v>161.70911999999998</v>
      </c>
      <c r="F57" t="s">
        <v>249</v>
      </c>
      <c r="G57"/>
      <c r="H57"/>
      <c r="I57"/>
      <c r="J57"/>
      <c r="K57"/>
      <c r="L57"/>
      <c r="M57"/>
      <c r="N57" s="293"/>
      <c r="O57" s="293"/>
    </row>
    <row r="58" spans="1:15" s="284" customFormat="1">
      <c r="A58" s="293"/>
      <c r="B58"/>
      <c r="C58" s="415" t="s">
        <v>246</v>
      </c>
      <c r="D58" s="415"/>
      <c r="E58" s="322">
        <f>J50*3</f>
        <v>86.728319999999997</v>
      </c>
      <c r="F58" t="s">
        <v>249</v>
      </c>
      <c r="G58"/>
      <c r="H58"/>
      <c r="I58"/>
      <c r="J58"/>
      <c r="K58"/>
      <c r="L58"/>
      <c r="M58"/>
      <c r="N58" s="293"/>
      <c r="O58" s="293"/>
    </row>
    <row r="59" spans="1:15" s="284" customFormat="1">
      <c r="A59" s="293"/>
      <c r="B59"/>
      <c r="C59" s="415" t="s">
        <v>45</v>
      </c>
      <c r="D59" s="415"/>
      <c r="E59" s="326">
        <f>E57+E58</f>
        <v>248.43743999999998</v>
      </c>
      <c r="F59" t="s">
        <v>249</v>
      </c>
      <c r="G59"/>
      <c r="H59"/>
      <c r="I59"/>
      <c r="J59"/>
      <c r="K59"/>
      <c r="L59"/>
      <c r="M59"/>
      <c r="N59" s="293"/>
      <c r="O59" s="293"/>
    </row>
    <row r="60" spans="1:15" s="284" customFormat="1">
      <c r="A60" s="293"/>
      <c r="B60"/>
      <c r="C60"/>
      <c r="D60"/>
      <c r="E60" s="53"/>
      <c r="F60"/>
      <c r="G60"/>
      <c r="H60"/>
      <c r="I60"/>
      <c r="J60"/>
      <c r="K60"/>
      <c r="L60"/>
      <c r="M60"/>
      <c r="N60" s="293"/>
      <c r="O60" s="293"/>
    </row>
    <row r="61" spans="1:15">
      <c r="C61" s="415" t="s">
        <v>248</v>
      </c>
      <c r="D61" s="415"/>
      <c r="E61" s="415"/>
      <c r="F61" s="323">
        <f>J42+K46*12+K50*3</f>
        <v>211.43045088000002</v>
      </c>
      <c r="G61" t="s">
        <v>249</v>
      </c>
      <c r="N61" s="293"/>
      <c r="O61" s="293"/>
    </row>
    <row r="62" spans="1:15">
      <c r="C62" s="415" t="s">
        <v>250</v>
      </c>
      <c r="D62" s="415"/>
      <c r="E62" s="415"/>
      <c r="F62" s="323">
        <f>E59-F61</f>
        <v>37.006989119999957</v>
      </c>
      <c r="G62" t="s">
        <v>249</v>
      </c>
      <c r="N62" s="293"/>
      <c r="O62" s="293"/>
    </row>
    <row r="63" spans="1:15">
      <c r="N63" s="293"/>
      <c r="O63" s="293"/>
    </row>
    <row r="64" spans="1:15">
      <c r="N64" s="284"/>
      <c r="O64" s="284"/>
    </row>
    <row r="65" spans="9:15">
      <c r="O65" s="284"/>
    </row>
    <row r="66" spans="9:15" ht="15.75">
      <c r="I66" s="666" t="s">
        <v>255</v>
      </c>
      <c r="J66" s="666"/>
      <c r="K66" s="666"/>
      <c r="L66" s="666"/>
      <c r="M66" s="666"/>
      <c r="N66" s="666"/>
      <c r="O66" s="284"/>
    </row>
    <row r="67" spans="9:15">
      <c r="I67" s="667" t="s">
        <v>256</v>
      </c>
      <c r="J67" s="667"/>
      <c r="K67" s="667"/>
      <c r="L67" s="667"/>
      <c r="M67" s="667"/>
      <c r="N67" s="667"/>
      <c r="O67" s="284"/>
    </row>
    <row r="68" spans="9:15" ht="15.75">
      <c r="I68" s="668" t="s">
        <v>257</v>
      </c>
      <c r="J68" s="668"/>
      <c r="K68" s="669" t="s">
        <v>258</v>
      </c>
      <c r="L68" s="669"/>
      <c r="M68" s="669"/>
      <c r="N68" s="669"/>
      <c r="O68" s="284"/>
    </row>
    <row r="69" spans="9:15" ht="15.75">
      <c r="I69" s="668" t="s">
        <v>259</v>
      </c>
      <c r="J69" s="668"/>
      <c r="K69" s="669" t="s">
        <v>260</v>
      </c>
      <c r="L69" s="669"/>
      <c r="M69" s="669"/>
      <c r="N69" s="669"/>
      <c r="O69" s="284"/>
    </row>
    <row r="70" spans="9:15" ht="15.75">
      <c r="I70" s="668" t="s">
        <v>261</v>
      </c>
      <c r="J70" s="668"/>
      <c r="K70" s="669" t="s">
        <v>262</v>
      </c>
      <c r="L70" s="669"/>
      <c r="M70" s="669"/>
      <c r="N70" s="669"/>
      <c r="O70" s="284"/>
    </row>
    <row r="71" spans="9:15">
      <c r="O71" s="284"/>
    </row>
  </sheetData>
  <mergeCells count="141">
    <mergeCell ref="I66:N66"/>
    <mergeCell ref="I67:N67"/>
    <mergeCell ref="I68:J68"/>
    <mergeCell ref="K68:N68"/>
    <mergeCell ref="I69:J69"/>
    <mergeCell ref="K69:N69"/>
    <mergeCell ref="I70:J70"/>
    <mergeCell ref="K70:N70"/>
    <mergeCell ref="C42:D42"/>
    <mergeCell ref="J40:J41"/>
    <mergeCell ref="F36:F37"/>
    <mergeCell ref="I36:I37"/>
    <mergeCell ref="J32:J33"/>
    <mergeCell ref="J28:J29"/>
    <mergeCell ref="J24:J25"/>
    <mergeCell ref="J20:J21"/>
    <mergeCell ref="L40:L41"/>
    <mergeCell ref="C41:D41"/>
    <mergeCell ref="G40:G41"/>
    <mergeCell ref="H40:H41"/>
    <mergeCell ref="C40:D40"/>
    <mergeCell ref="E40:E41"/>
    <mergeCell ref="F40:F41"/>
    <mergeCell ref="I40:I41"/>
    <mergeCell ref="J36:J37"/>
    <mergeCell ref="L36:L37"/>
    <mergeCell ref="C37:D37"/>
    <mergeCell ref="C38:D38"/>
    <mergeCell ref="E38:E39"/>
    <mergeCell ref="F38:F39"/>
    <mergeCell ref="I38:I39"/>
    <mergeCell ref="J38:J39"/>
    <mergeCell ref="L38:L39"/>
    <mergeCell ref="C39:D39"/>
    <mergeCell ref="G36:G37"/>
    <mergeCell ref="G38:G39"/>
    <mergeCell ref="H36:H37"/>
    <mergeCell ref="H38:H39"/>
    <mergeCell ref="C36:D36"/>
    <mergeCell ref="E36:E37"/>
    <mergeCell ref="L32:L33"/>
    <mergeCell ref="C33:D33"/>
    <mergeCell ref="C34:D34"/>
    <mergeCell ref="E34:E35"/>
    <mergeCell ref="F34:F35"/>
    <mergeCell ref="I34:I35"/>
    <mergeCell ref="J34:J35"/>
    <mergeCell ref="L34:L35"/>
    <mergeCell ref="C35:D35"/>
    <mergeCell ref="G32:G33"/>
    <mergeCell ref="G34:G35"/>
    <mergeCell ref="H32:H33"/>
    <mergeCell ref="H34:H35"/>
    <mergeCell ref="C32:D32"/>
    <mergeCell ref="E32:E33"/>
    <mergeCell ref="F32:F33"/>
    <mergeCell ref="I32:I33"/>
    <mergeCell ref="L28:L29"/>
    <mergeCell ref="C29:D29"/>
    <mergeCell ref="C30:D30"/>
    <mergeCell ref="E30:E31"/>
    <mergeCell ref="F30:F31"/>
    <mergeCell ref="I30:I31"/>
    <mergeCell ref="J30:J31"/>
    <mergeCell ref="L30:L31"/>
    <mergeCell ref="C31:D31"/>
    <mergeCell ref="G28:G29"/>
    <mergeCell ref="G30:G31"/>
    <mergeCell ref="H28:H29"/>
    <mergeCell ref="H30:H31"/>
    <mergeCell ref="C28:D28"/>
    <mergeCell ref="E28:E29"/>
    <mergeCell ref="F28:F29"/>
    <mergeCell ref="I28:I29"/>
    <mergeCell ref="I20:I21"/>
    <mergeCell ref="G20:G21"/>
    <mergeCell ref="G22:G23"/>
    <mergeCell ref="L24:L25"/>
    <mergeCell ref="C25:D25"/>
    <mergeCell ref="C26:D26"/>
    <mergeCell ref="E26:E27"/>
    <mergeCell ref="F26:F27"/>
    <mergeCell ref="I26:I27"/>
    <mergeCell ref="J26:J27"/>
    <mergeCell ref="L26:L27"/>
    <mergeCell ref="C27:D27"/>
    <mergeCell ref="G24:G25"/>
    <mergeCell ref="G26:G27"/>
    <mergeCell ref="H24:H25"/>
    <mergeCell ref="H26:H27"/>
    <mergeCell ref="C24:D24"/>
    <mergeCell ref="E24:E25"/>
    <mergeCell ref="F24:F25"/>
    <mergeCell ref="I24:I25"/>
    <mergeCell ref="D5:H6"/>
    <mergeCell ref="J5:N6"/>
    <mergeCell ref="J7:N8"/>
    <mergeCell ref="C10:L10"/>
    <mergeCell ref="L12:L17"/>
    <mergeCell ref="C12:D14"/>
    <mergeCell ref="C15:D17"/>
    <mergeCell ref="C18:D18"/>
    <mergeCell ref="H15:H17"/>
    <mergeCell ref="H12:H14"/>
    <mergeCell ref="H18:H19"/>
    <mergeCell ref="G12:G17"/>
    <mergeCell ref="G18:G19"/>
    <mergeCell ref="C19:D19"/>
    <mergeCell ref="E18:E19"/>
    <mergeCell ref="E12:E17"/>
    <mergeCell ref="F12:F17"/>
    <mergeCell ref="J18:J19"/>
    <mergeCell ref="L18:L19"/>
    <mergeCell ref="F18:F19"/>
    <mergeCell ref="I18:I19"/>
    <mergeCell ref="I12:I17"/>
    <mergeCell ref="J12:K12"/>
    <mergeCell ref="C7:H8"/>
    <mergeCell ref="J13:J17"/>
    <mergeCell ref="C62:E62"/>
    <mergeCell ref="C48:L48"/>
    <mergeCell ref="C44:L44"/>
    <mergeCell ref="C57:D57"/>
    <mergeCell ref="C58:D58"/>
    <mergeCell ref="C59:D59"/>
    <mergeCell ref="C56:E56"/>
    <mergeCell ref="C61:E61"/>
    <mergeCell ref="L20:L21"/>
    <mergeCell ref="C21:D21"/>
    <mergeCell ref="C22:D22"/>
    <mergeCell ref="E22:E23"/>
    <mergeCell ref="F22:F23"/>
    <mergeCell ref="I22:I23"/>
    <mergeCell ref="J22:J23"/>
    <mergeCell ref="L22:L23"/>
    <mergeCell ref="C23:D23"/>
    <mergeCell ref="H20:H21"/>
    <mergeCell ref="H22:H23"/>
    <mergeCell ref="C20:D20"/>
    <mergeCell ref="E20:E21"/>
    <mergeCell ref="F20:F21"/>
  </mergeCells>
  <pageMargins left="0.511811024" right="0.511811024" top="0.78740157499999996" bottom="0.78740157499999996" header="0.31496062000000002" footer="0.31496062000000002"/>
  <pageSetup paperSize="9" scale="6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X126"/>
  <sheetViews>
    <sheetView topLeftCell="A10" zoomScale="80" zoomScaleNormal="80" workbookViewId="0">
      <selection activeCell="C25" sqref="C25:C28"/>
    </sheetView>
  </sheetViews>
  <sheetFormatPr defaultRowHeight="12.75"/>
  <cols>
    <col min="1" max="1" width="6.28515625" style="156" customWidth="1"/>
    <col min="2" max="2" width="9.140625" style="156"/>
    <col min="3" max="3" width="4.5703125" style="156" customWidth="1"/>
    <col min="4" max="5" width="9.140625" style="156"/>
    <col min="6" max="6" width="10.5703125" style="156" customWidth="1"/>
    <col min="7" max="7" width="9.140625" style="156"/>
    <col min="8" max="11" width="10.7109375" style="156" customWidth="1"/>
    <col min="12" max="12" width="11.42578125" style="156" customWidth="1"/>
    <col min="13" max="13" width="9.140625" style="156"/>
    <col min="14" max="14" width="12.7109375" style="156" customWidth="1"/>
    <col min="15" max="16" width="10.7109375" style="156" customWidth="1"/>
    <col min="17" max="17" width="12.7109375" style="156" customWidth="1"/>
    <col min="18" max="18" width="13.140625" style="156" customWidth="1"/>
    <col min="19" max="19" width="11.140625" style="156" customWidth="1"/>
    <col min="20" max="20" width="10.5703125" style="156" customWidth="1"/>
    <col min="21" max="21" width="10.140625" style="156" bestFit="1" customWidth="1"/>
    <col min="22" max="22" width="9.140625" style="156" customWidth="1"/>
    <col min="23" max="23" width="6.85546875" style="156" customWidth="1"/>
    <col min="24" max="24" width="9.140625" style="156"/>
    <col min="25" max="25" width="4.85546875" style="156" customWidth="1"/>
    <col min="26" max="26" width="4.28515625" style="156" customWidth="1"/>
    <col min="27" max="27" width="4.85546875" style="156" customWidth="1"/>
    <col min="28" max="28" width="4.140625" style="156" customWidth="1"/>
    <col min="29" max="29" width="5.42578125" style="156" customWidth="1"/>
    <col min="30" max="30" width="7" style="156" customWidth="1"/>
    <col min="31" max="31" width="6.5703125" style="156" customWidth="1"/>
    <col min="32" max="32" width="7.85546875" style="156" customWidth="1"/>
    <col min="33" max="33" width="5.42578125" style="156" customWidth="1"/>
    <col min="34" max="35" width="7.5703125" style="156" customWidth="1"/>
    <col min="36" max="36" width="5.42578125" style="156" customWidth="1"/>
    <col min="37" max="37" width="6.28515625" style="156" customWidth="1"/>
    <col min="38" max="38" width="7.7109375" style="156" customWidth="1"/>
    <col min="39" max="39" width="6" style="156" customWidth="1"/>
    <col min="40" max="40" width="7.42578125" style="156" customWidth="1"/>
    <col min="41" max="41" width="5.7109375" style="156" customWidth="1"/>
    <col min="42" max="42" width="5.42578125" style="156" customWidth="1"/>
    <col min="43" max="43" width="5.7109375" style="156" customWidth="1"/>
    <col min="44" max="44" width="6.5703125" style="156" customWidth="1"/>
    <col min="45" max="45" width="14.42578125" style="156" customWidth="1"/>
    <col min="46" max="46" width="15.140625" style="156" customWidth="1"/>
    <col min="47" max="47" width="10.85546875" style="156" customWidth="1"/>
    <col min="48" max="48" width="8.42578125" style="156" customWidth="1"/>
    <col min="49" max="16384" width="9.140625" style="156"/>
  </cols>
  <sheetData>
    <row r="1" spans="1:50" ht="15.75">
      <c r="B1" s="157" t="s">
        <v>56</v>
      </c>
      <c r="C1" s="157"/>
      <c r="AA1" s="158"/>
      <c r="AL1" s="159"/>
    </row>
    <row r="2" spans="1:50" ht="27.75" customHeight="1">
      <c r="A2" s="160"/>
      <c r="B2" s="160" t="s">
        <v>57</v>
      </c>
      <c r="C2" s="160"/>
      <c r="K2" s="33" t="s">
        <v>2</v>
      </c>
      <c r="L2" s="630"/>
      <c r="M2" s="630"/>
      <c r="N2" s="630"/>
      <c r="O2" s="630"/>
      <c r="P2" s="631"/>
      <c r="Q2" s="33" t="s">
        <v>3</v>
      </c>
      <c r="R2" s="634"/>
      <c r="S2" s="634"/>
      <c r="T2" s="634"/>
      <c r="U2" s="634"/>
      <c r="V2" s="634"/>
      <c r="W2" s="635"/>
      <c r="X2" s="161"/>
      <c r="Y2" s="161"/>
      <c r="Z2" s="161"/>
      <c r="AA2" s="34"/>
      <c r="AB2" s="35"/>
      <c r="AC2" s="35"/>
      <c r="AD2" s="35"/>
      <c r="AE2" s="35"/>
      <c r="AF2" s="35"/>
      <c r="AG2" s="35"/>
      <c r="AH2" s="35"/>
      <c r="AI2" s="35"/>
      <c r="AJ2" s="161"/>
      <c r="AK2" s="36"/>
      <c r="AL2" s="36"/>
      <c r="AM2" s="36"/>
      <c r="AN2" s="36"/>
      <c r="AO2" s="36"/>
      <c r="AP2" s="36"/>
    </row>
    <row r="3" spans="1:50" ht="27.75">
      <c r="A3" s="160"/>
      <c r="B3" s="160"/>
      <c r="C3" s="160"/>
      <c r="K3" s="162"/>
      <c r="L3" s="632"/>
      <c r="M3" s="632"/>
      <c r="N3" s="632"/>
      <c r="O3" s="632"/>
      <c r="P3" s="633"/>
      <c r="Q3" s="162"/>
      <c r="R3" s="636"/>
      <c r="S3" s="636"/>
      <c r="T3" s="636"/>
      <c r="U3" s="636"/>
      <c r="V3" s="636"/>
      <c r="W3" s="637"/>
      <c r="X3" s="37"/>
      <c r="Y3" s="37"/>
      <c r="Z3" s="37"/>
      <c r="AA3" s="35"/>
      <c r="AB3" s="35"/>
      <c r="AC3" s="35"/>
      <c r="AD3" s="35"/>
      <c r="AE3" s="35"/>
      <c r="AF3" s="35"/>
      <c r="AG3" s="35"/>
      <c r="AH3" s="35"/>
      <c r="AI3" s="35"/>
      <c r="AJ3" s="37"/>
      <c r="AK3" s="36"/>
      <c r="AL3" s="36"/>
      <c r="AM3" s="36"/>
      <c r="AN3" s="36"/>
      <c r="AO3" s="36"/>
      <c r="AP3" s="36"/>
    </row>
    <row r="4" spans="1:50" ht="18.75" customHeight="1">
      <c r="A4" s="160"/>
      <c r="B4" s="163"/>
      <c r="C4" s="163"/>
      <c r="K4" s="473" t="s">
        <v>58</v>
      </c>
      <c r="L4" s="474"/>
      <c r="M4" s="474"/>
      <c r="N4" s="474"/>
      <c r="O4" s="474"/>
      <c r="P4" s="475"/>
      <c r="Q4" s="164" t="s">
        <v>59</v>
      </c>
      <c r="R4" s="638"/>
      <c r="S4" s="638"/>
      <c r="T4" s="638"/>
      <c r="U4" s="638"/>
      <c r="V4" s="638"/>
      <c r="W4" s="639"/>
      <c r="X4" s="161"/>
      <c r="Y4" s="161"/>
      <c r="Z4" s="161"/>
      <c r="AA4" s="37"/>
      <c r="AB4" s="37"/>
      <c r="AC4" s="37"/>
      <c r="AD4" s="37"/>
      <c r="AE4" s="37"/>
      <c r="AF4" s="37"/>
      <c r="AG4" s="37"/>
      <c r="AH4" s="37"/>
      <c r="AI4" s="37"/>
      <c r="AJ4" s="161"/>
      <c r="AK4" s="35"/>
      <c r="AL4" s="35"/>
      <c r="AM4" s="35"/>
      <c r="AN4" s="35"/>
      <c r="AO4" s="35"/>
      <c r="AP4" s="35"/>
    </row>
    <row r="5" spans="1:50" ht="20.25" customHeight="1">
      <c r="A5" s="422" t="s">
        <v>60</v>
      </c>
      <c r="B5" s="422"/>
      <c r="C5" s="422"/>
      <c r="D5" s="422"/>
      <c r="E5" s="422"/>
      <c r="F5" s="422"/>
      <c r="G5" s="422"/>
      <c r="H5" s="422"/>
      <c r="I5" s="422"/>
      <c r="J5" s="642"/>
      <c r="K5" s="476"/>
      <c r="L5" s="477"/>
      <c r="M5" s="477"/>
      <c r="N5" s="477"/>
      <c r="O5" s="477"/>
      <c r="P5" s="478"/>
      <c r="Q5" s="165"/>
      <c r="R5" s="640"/>
      <c r="S5" s="640"/>
      <c r="T5" s="640"/>
      <c r="U5" s="640"/>
      <c r="V5" s="640"/>
      <c r="W5" s="641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5"/>
      <c r="AL5" s="35"/>
      <c r="AM5" s="35"/>
      <c r="AN5" s="35"/>
      <c r="AO5" s="35"/>
      <c r="AP5" s="35"/>
    </row>
    <row r="6" spans="1:50" ht="15.75">
      <c r="A6" s="38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40"/>
      <c r="W6" s="40"/>
      <c r="X6" s="161"/>
      <c r="Y6" s="161"/>
      <c r="Z6" s="161"/>
      <c r="AA6" s="41"/>
      <c r="AS6" s="166"/>
    </row>
    <row r="7" spans="1:50" ht="12.75" customHeight="1">
      <c r="A7" s="616" t="s">
        <v>61</v>
      </c>
      <c r="B7" s="644" t="s">
        <v>62</v>
      </c>
      <c r="C7" s="645"/>
      <c r="D7" s="616" t="s">
        <v>63</v>
      </c>
      <c r="E7" s="616" t="s">
        <v>64</v>
      </c>
      <c r="F7" s="650" t="s">
        <v>65</v>
      </c>
      <c r="G7" s="655" t="s">
        <v>66</v>
      </c>
      <c r="H7" s="616" t="s">
        <v>67</v>
      </c>
      <c r="I7" s="616" t="s">
        <v>68</v>
      </c>
      <c r="J7" s="614" t="s">
        <v>69</v>
      </c>
      <c r="K7" s="616" t="s">
        <v>70</v>
      </c>
      <c r="L7" s="616" t="s">
        <v>71</v>
      </c>
      <c r="M7" s="616" t="s">
        <v>72</v>
      </c>
      <c r="N7" s="616" t="s">
        <v>73</v>
      </c>
      <c r="O7" s="616" t="s">
        <v>74</v>
      </c>
      <c r="P7" s="616" t="s">
        <v>75</v>
      </c>
      <c r="Q7" s="616" t="s">
        <v>76</v>
      </c>
      <c r="R7" s="616" t="s">
        <v>77</v>
      </c>
      <c r="S7" s="624" t="s">
        <v>78</v>
      </c>
      <c r="T7" s="624"/>
      <c r="U7" s="616" t="s">
        <v>79</v>
      </c>
      <c r="V7" s="624" t="s">
        <v>80</v>
      </c>
      <c r="W7" s="616" t="s">
        <v>81</v>
      </c>
      <c r="X7" s="42"/>
      <c r="Y7" s="42"/>
      <c r="Z7" s="42"/>
      <c r="AA7" s="42"/>
      <c r="AB7" s="43"/>
      <c r="AC7" s="625"/>
      <c r="AD7" s="44"/>
      <c r="AE7" s="44"/>
      <c r="AF7" s="44"/>
      <c r="AG7" s="44"/>
      <c r="AH7" s="44"/>
      <c r="AI7" s="44"/>
      <c r="AJ7" s="45"/>
      <c r="AK7" s="45"/>
      <c r="AL7" s="43"/>
      <c r="AM7" s="45"/>
      <c r="AN7" s="167"/>
      <c r="AO7" s="45"/>
      <c r="AP7" s="43"/>
      <c r="AR7" s="43"/>
      <c r="AS7" s="626" t="s">
        <v>82</v>
      </c>
      <c r="AT7" s="625"/>
      <c r="AU7" s="44"/>
    </row>
    <row r="8" spans="1:50" ht="12.75" customHeight="1">
      <c r="A8" s="617"/>
      <c r="B8" s="646"/>
      <c r="C8" s="647"/>
      <c r="D8" s="617"/>
      <c r="E8" s="617"/>
      <c r="F8" s="651"/>
      <c r="G8" s="656"/>
      <c r="H8" s="620"/>
      <c r="I8" s="620"/>
      <c r="J8" s="615"/>
      <c r="K8" s="617"/>
      <c r="L8" s="617"/>
      <c r="M8" s="617"/>
      <c r="N8" s="620"/>
      <c r="O8" s="617"/>
      <c r="P8" s="617"/>
      <c r="Q8" s="617"/>
      <c r="R8" s="617"/>
      <c r="S8" s="616" t="s">
        <v>83</v>
      </c>
      <c r="T8" s="168" t="s">
        <v>84</v>
      </c>
      <c r="U8" s="617"/>
      <c r="V8" s="624"/>
      <c r="W8" s="617"/>
      <c r="X8" s="42"/>
      <c r="Y8" s="42"/>
      <c r="Z8" s="42"/>
      <c r="AA8" s="42"/>
      <c r="AB8" s="43"/>
      <c r="AC8" s="625"/>
      <c r="AD8" s="44"/>
      <c r="AE8" s="44"/>
      <c r="AF8" s="44"/>
      <c r="AG8" s="44"/>
      <c r="AH8" s="44"/>
      <c r="AI8" s="44"/>
      <c r="AJ8" s="45"/>
      <c r="AK8" s="45"/>
      <c r="AL8" s="43"/>
      <c r="AM8" s="45"/>
      <c r="AN8" s="167"/>
      <c r="AO8" s="45"/>
      <c r="AP8" s="43"/>
      <c r="AR8" s="43"/>
      <c r="AS8" s="626"/>
      <c r="AT8" s="625"/>
      <c r="AU8" s="44"/>
    </row>
    <row r="9" spans="1:50" ht="25.5" customHeight="1">
      <c r="A9" s="617"/>
      <c r="B9" s="646"/>
      <c r="C9" s="647"/>
      <c r="D9" s="617"/>
      <c r="E9" s="617"/>
      <c r="F9" s="651"/>
      <c r="G9" s="656"/>
      <c r="H9" s="169" t="s">
        <v>85</v>
      </c>
      <c r="I9" s="169" t="s">
        <v>85</v>
      </c>
      <c r="J9" s="282" t="s">
        <v>85</v>
      </c>
      <c r="K9" s="618"/>
      <c r="L9" s="617"/>
      <c r="M9" s="617"/>
      <c r="N9" s="169" t="s">
        <v>85</v>
      </c>
      <c r="O9" s="617"/>
      <c r="P9" s="617"/>
      <c r="Q9" s="617"/>
      <c r="R9" s="617"/>
      <c r="S9" s="617"/>
      <c r="T9" s="169" t="s">
        <v>85</v>
      </c>
      <c r="U9" s="617"/>
      <c r="V9" s="624"/>
      <c r="W9" s="617"/>
      <c r="X9" s="42"/>
      <c r="Y9" s="42"/>
      <c r="Z9" s="42"/>
      <c r="AA9" s="42"/>
      <c r="AB9" s="43"/>
      <c r="AC9" s="625"/>
      <c r="AD9" s="44"/>
      <c r="AE9" s="44"/>
      <c r="AF9" s="44"/>
      <c r="AG9" s="44"/>
      <c r="AH9" s="44"/>
      <c r="AI9" s="44"/>
      <c r="AJ9" s="45"/>
      <c r="AK9" s="45"/>
      <c r="AL9" s="43"/>
      <c r="AM9" s="45"/>
      <c r="AN9" s="167"/>
      <c r="AO9" s="45"/>
      <c r="AP9" s="43"/>
      <c r="AR9" s="43"/>
      <c r="AS9" s="626"/>
      <c r="AT9" s="625"/>
      <c r="AU9" s="44"/>
      <c r="AV9" s="123"/>
      <c r="AW9" s="123"/>
      <c r="AX9" s="123"/>
    </row>
    <row r="10" spans="1:50" ht="12.75" customHeight="1">
      <c r="A10" s="617"/>
      <c r="B10" s="648"/>
      <c r="C10" s="649"/>
      <c r="D10" s="617"/>
      <c r="E10" s="617"/>
      <c r="F10" s="652"/>
      <c r="G10" s="657"/>
      <c r="H10" s="169" t="s">
        <v>86</v>
      </c>
      <c r="I10" s="169" t="s">
        <v>86</v>
      </c>
      <c r="J10" s="282" t="s">
        <v>86</v>
      </c>
      <c r="K10" s="618"/>
      <c r="L10" s="620"/>
      <c r="M10" s="617"/>
      <c r="N10" s="169" t="s">
        <v>86</v>
      </c>
      <c r="O10" s="617"/>
      <c r="P10" s="617"/>
      <c r="Q10" s="620"/>
      <c r="R10" s="617"/>
      <c r="S10" s="617"/>
      <c r="T10" s="169" t="s">
        <v>86</v>
      </c>
      <c r="U10" s="617"/>
      <c r="V10" s="624" t="s">
        <v>87</v>
      </c>
      <c r="W10" s="617"/>
      <c r="X10" s="42"/>
      <c r="Y10" s="42"/>
      <c r="Z10" s="42"/>
      <c r="AA10" s="42"/>
      <c r="AB10" s="43"/>
      <c r="AC10" s="625"/>
      <c r="AD10" s="44"/>
      <c r="AE10" s="44"/>
      <c r="AF10" s="44"/>
      <c r="AG10" s="44"/>
      <c r="AH10" s="44"/>
      <c r="AI10" s="44"/>
      <c r="AJ10" s="45"/>
      <c r="AK10" s="45"/>
      <c r="AL10" s="43"/>
      <c r="AM10" s="45"/>
      <c r="AN10" s="167"/>
      <c r="AO10" s="45"/>
      <c r="AP10" s="43"/>
      <c r="AR10" s="43"/>
      <c r="AS10" s="626"/>
      <c r="AT10" s="625"/>
      <c r="AU10" s="557" t="s">
        <v>88</v>
      </c>
      <c r="AV10" s="557" t="s">
        <v>89</v>
      </c>
      <c r="AW10" s="557" t="s">
        <v>90</v>
      </c>
    </row>
    <row r="11" spans="1:50" ht="12.75" customHeight="1">
      <c r="A11" s="617"/>
      <c r="B11" s="644" t="s">
        <v>91</v>
      </c>
      <c r="C11" s="645"/>
      <c r="D11" s="617"/>
      <c r="E11" s="617"/>
      <c r="F11" s="650" t="s">
        <v>92</v>
      </c>
      <c r="G11" s="653" t="s">
        <v>93</v>
      </c>
      <c r="H11" s="169" t="s">
        <v>94</v>
      </c>
      <c r="I11" s="169" t="s">
        <v>94</v>
      </c>
      <c r="J11" s="282" t="s">
        <v>94</v>
      </c>
      <c r="K11" s="618"/>
      <c r="L11" s="616" t="s">
        <v>95</v>
      </c>
      <c r="M11" s="617"/>
      <c r="N11" s="169" t="s">
        <v>94</v>
      </c>
      <c r="O11" s="617"/>
      <c r="P11" s="617"/>
      <c r="Q11" s="616" t="s">
        <v>96</v>
      </c>
      <c r="R11" s="617"/>
      <c r="S11" s="617"/>
      <c r="T11" s="169" t="s">
        <v>94</v>
      </c>
      <c r="U11" s="617"/>
      <c r="V11" s="624"/>
      <c r="W11" s="617"/>
      <c r="X11" s="42"/>
      <c r="Y11" s="42"/>
      <c r="Z11" s="42"/>
      <c r="AA11" s="42"/>
      <c r="AB11" s="43"/>
      <c r="AC11" s="625"/>
      <c r="AD11" s="44"/>
      <c r="AE11" s="44"/>
      <c r="AF11" s="44"/>
      <c r="AG11" s="44"/>
      <c r="AH11" s="44"/>
      <c r="AI11" s="44" t="s">
        <v>97</v>
      </c>
      <c r="AJ11" s="627" t="s">
        <v>97</v>
      </c>
      <c r="AK11" s="628"/>
      <c r="AL11" s="628"/>
      <c r="AM11" s="629"/>
      <c r="AN11" s="623" t="s">
        <v>98</v>
      </c>
      <c r="AO11" s="623"/>
      <c r="AP11" s="623"/>
      <c r="AQ11" s="623"/>
      <c r="AR11" s="623"/>
      <c r="AS11" s="626"/>
      <c r="AT11" s="625"/>
      <c r="AU11" s="622"/>
      <c r="AV11" s="622"/>
      <c r="AW11" s="622"/>
    </row>
    <row r="12" spans="1:50" ht="25.5" customHeight="1">
      <c r="A12" s="643"/>
      <c r="B12" s="648"/>
      <c r="C12" s="649"/>
      <c r="D12" s="620"/>
      <c r="E12" s="620"/>
      <c r="F12" s="652"/>
      <c r="G12" s="654"/>
      <c r="H12" s="169" t="s">
        <v>99</v>
      </c>
      <c r="I12" s="169" t="s">
        <v>99</v>
      </c>
      <c r="J12" s="282" t="s">
        <v>99</v>
      </c>
      <c r="K12" s="619"/>
      <c r="L12" s="620"/>
      <c r="M12" s="620"/>
      <c r="N12" s="169" t="s">
        <v>99</v>
      </c>
      <c r="O12" s="620"/>
      <c r="P12" s="620"/>
      <c r="Q12" s="620"/>
      <c r="R12" s="620"/>
      <c r="S12" s="620"/>
      <c r="T12" s="169" t="s">
        <v>99</v>
      </c>
      <c r="U12" s="620"/>
      <c r="V12" s="624"/>
      <c r="W12" s="620"/>
      <c r="X12" s="42"/>
      <c r="Y12" s="42"/>
      <c r="Z12" s="42"/>
      <c r="AA12" s="42"/>
      <c r="AB12" s="43"/>
      <c r="AC12" s="625"/>
      <c r="AD12" s="44"/>
      <c r="AE12" s="44"/>
      <c r="AF12" s="44"/>
      <c r="AG12" s="44"/>
      <c r="AH12" s="46"/>
      <c r="AI12" s="46"/>
      <c r="AJ12" s="45"/>
      <c r="AK12" s="45"/>
      <c r="AL12" s="43" t="s">
        <v>100</v>
      </c>
      <c r="AM12" s="45" t="s">
        <v>101</v>
      </c>
      <c r="AN12" s="170"/>
      <c r="AO12" s="45"/>
      <c r="AP12" s="43"/>
      <c r="AQ12" s="43" t="s">
        <v>102</v>
      </c>
      <c r="AR12" s="45" t="s">
        <v>103</v>
      </c>
      <c r="AS12" s="626"/>
      <c r="AT12" s="625"/>
      <c r="AU12" s="622"/>
      <c r="AV12" s="622"/>
      <c r="AW12" s="622"/>
    </row>
    <row r="13" spans="1:50">
      <c r="A13" s="522"/>
      <c r="B13" s="525" t="s">
        <v>194</v>
      </c>
      <c r="C13" s="526" t="s">
        <v>196</v>
      </c>
      <c r="D13" s="529">
        <v>2</v>
      </c>
      <c r="E13" s="530">
        <f>IF(O13=A$84,B$84,IF(O13=A$85,B$85,IF(O13=A$86,B$86,IF(O13=A$87,B$87,IF(O13=A$88,B$88,IF(O13=A$89,B$89,IF(O13=A$90,B$90,IF(O13=A$83,B$83))))))))</f>
        <v>0.8</v>
      </c>
      <c r="F13" s="519">
        <v>3</v>
      </c>
      <c r="G13" s="515">
        <f>(F13+F15)/2</f>
        <v>1.5</v>
      </c>
      <c r="H13" s="171">
        <f>D13*(AC13-AB13)*2</f>
        <v>6</v>
      </c>
      <c r="I13" s="172">
        <f>(H13*E13)/2</f>
        <v>2.4000000000000004</v>
      </c>
      <c r="J13" s="173">
        <f>IF(O$13=0.48,($I$107-($I$96*E$13))*AC13,IF(O$13=0.72,($I$108-($I$97*E$13))*AC13,IF(O$13=0.95,($I$109-($I$98*E$13))*AC13,IF(O$13=1.2,($I$110-($I$99*E$13))*AC13,IF(O$13=1.4,($I$111-($I$100*E$13))*AC13,IF(O$13=1.75,($I$112-($I$101*E$13))*AC13,IF(O$13=0.36,($I$106-($I$95*E$13))*AC13)))))))</f>
        <v>5.25</v>
      </c>
      <c r="K13" s="516">
        <v>0</v>
      </c>
      <c r="L13" s="499">
        <f>IF(Y13="A",((L15*$D$120)+(($C$116-$D$75)*$K13)),IF(Y13="L",((L15*$D$120)+(($C$116-$D$76)*$K13)),IF(Y13="P",((L15*$D$120)+(($C$116-$D$77)*$K13)),IF(Y13="M",((L15*$D$120)+($C$116*$K13))))))</f>
        <v>1.008</v>
      </c>
      <c r="M13" s="517">
        <f>N13+N14+N15+N16</f>
        <v>8.6580000000000013</v>
      </c>
      <c r="N13" s="47">
        <f>I13+J13+L13</f>
        <v>8.6580000000000013</v>
      </c>
      <c r="O13" s="518">
        <v>0.36</v>
      </c>
      <c r="P13" s="519">
        <f>((O13/2)^2*3.1416)*D13</f>
        <v>0.20357567999999998</v>
      </c>
      <c r="Q13" s="499">
        <f>(E13*D13)*$Q15</f>
        <v>0</v>
      </c>
      <c r="R13" s="501" t="str">
        <f>IF(AND(G13&lt;=1.5,O13&lt;0.72),"Solo",IF(AND(G13&lt;=4&gt;1.5,O13&lt;=0.72),"Brita",IF(AND(G13&lt;6&gt;4,O13&gt;=0.72),"Rach/Brita")))</f>
        <v>Solo</v>
      </c>
      <c r="S13" s="504">
        <f>(D13*E13+K13*$B$116)*0.3</f>
        <v>0.48</v>
      </c>
      <c r="T13" s="174">
        <f>IF(AC13=0,0,N13-$H$78*K13-S13-AL13-AM13-AQ13-AR13)</f>
        <v>7.9744243200000007</v>
      </c>
      <c r="U13" s="507">
        <f>M13-S13</f>
        <v>8.1780000000000008</v>
      </c>
      <c r="V13" s="501">
        <f>IF(W13="A",E13*D13+($K13*$G$116)+$F$120*$L15+$Z$141,IF(W13="L",(E13+1)*D13+($K13*$G$116)+$F$120*$L15+$Z$141,IF(W13="P",(E13+1)*D13+($K13*$G$116)+$F$120*$L15+$Z$141,IF(W13="M",E13*D13+$K13*$G$116+$F$120*$L15))))</f>
        <v>2.08</v>
      </c>
      <c r="W13" s="550" t="s">
        <v>105</v>
      </c>
      <c r="X13" s="175" t="s">
        <v>104</v>
      </c>
      <c r="Y13" s="48" t="s">
        <v>105</v>
      </c>
      <c r="Z13" s="48">
        <v>1</v>
      </c>
      <c r="AA13" s="48" t="s">
        <v>105</v>
      </c>
      <c r="AB13" s="176">
        <f>VLOOKUP(W13,$A$75:$D$79,4,FALSE)</f>
        <v>0</v>
      </c>
      <c r="AC13" s="49">
        <f>IF(G15&gt;1.5,0,G15)</f>
        <v>1.5</v>
      </c>
      <c r="AD13" s="177">
        <f>AC13-(AO13+AP13)</f>
        <v>1.5</v>
      </c>
      <c r="AE13" s="177">
        <f>IF(AD13&gt;0,AC13,AD13)</f>
        <v>1.5</v>
      </c>
      <c r="AF13" s="177">
        <f t="shared" ref="AF13:AF15" si="0">IF(AND(AH13="Tubo",AC13&gt;=0.2),AC13-0.2,IF(AH13="tubo",AC13,""))</f>
        <v>1.3</v>
      </c>
      <c r="AG13" s="178" t="str">
        <f>IF(AC14=0,"Berço","")</f>
        <v>Berço</v>
      </c>
      <c r="AH13" s="178" t="str">
        <f>IF(AE14=0,"Tubo","")</f>
        <v>Tubo</v>
      </c>
      <c r="AI13" s="177">
        <f t="shared" ref="AI13:AI20" si="1">IF(AH13="Tubo",AF13-$O$13,AF13)</f>
        <v>0.94000000000000006</v>
      </c>
      <c r="AJ13" s="52">
        <f>IF(AI14&lt;0,-AI14,0)</f>
        <v>0</v>
      </c>
      <c r="AK13" s="50">
        <f>IF(AND(AH13="Tubo",AI13&lt;0),AF13,IF(AH13="Tubo",$O$13,0))</f>
        <v>0.36</v>
      </c>
      <c r="AL13" s="50">
        <f>(AJ13/2)^2*3.1416*D13</f>
        <v>0</v>
      </c>
      <c r="AM13" s="51">
        <f>(AK13/2)^2*3.1416*D13</f>
        <v>0.20357567999999998</v>
      </c>
      <c r="AN13" s="50">
        <f>IF(AG13="Berço",AC13-$Q$15,AC13)</f>
        <v>1.5</v>
      </c>
      <c r="AO13" s="50">
        <f>IF(AN14&lt;0,-AN14,0)</f>
        <v>0</v>
      </c>
      <c r="AP13" s="52">
        <f t="shared" ref="AP13:AP20" si="2">IF(AND(AG13="Berço",AN13&lt;0),AC13,IF(AG13="Berço",$Q$15,0))</f>
        <v>0</v>
      </c>
      <c r="AQ13" s="50">
        <f t="shared" ref="AQ13:AR20" si="3">AO13*$E$13*$D$13</f>
        <v>0</v>
      </c>
      <c r="AR13" s="52">
        <f>AP13*$E$13*$D$13</f>
        <v>0</v>
      </c>
      <c r="AS13" s="609">
        <f>SUM(AQ13:AR16)+SUM(AL13:AM16)+K13*$H$98+E$138*L15+S13+SUM(T13:T16)</f>
        <v>8.6580000000000013</v>
      </c>
      <c r="AT13" s="610" t="b">
        <f>AS13=M13</f>
        <v>1</v>
      </c>
      <c r="AU13" s="52">
        <f>IF(W13="A",VLOOKUP(O13,$A$106:$I$112,9,FALSE),0)</f>
        <v>5.5</v>
      </c>
      <c r="AV13" s="52">
        <f>IF(W13="A",D13*E13,0)</f>
        <v>1.6</v>
      </c>
      <c r="AW13" s="52">
        <f>IF(W15="A",K13*$B$103+L15*$F$138,0)</f>
        <v>0</v>
      </c>
      <c r="AX13" s="179"/>
    </row>
    <row r="14" spans="1:50">
      <c r="A14" s="523"/>
      <c r="B14" s="508"/>
      <c r="C14" s="527"/>
      <c r="D14" s="529"/>
      <c r="E14" s="531"/>
      <c r="F14" s="621"/>
      <c r="G14" s="510"/>
      <c r="H14" s="171">
        <f>D13*AC14*2</f>
        <v>0</v>
      </c>
      <c r="I14" s="171">
        <f>(H14*E13)/2</f>
        <v>0</v>
      </c>
      <c r="J14" s="171">
        <f>IF(O13=0.48,($I$107-($I$96*E13))*AC14,IF(O13=0.72,($I$108-($I$97*E13))*AC14,IF(O13=0.95,($I$109-($I$98*E13))*AC14,IF(O13=1.2,($I$110-($I$99*E13))*AC14,IF(O13=1.4,($I$111-($I$100*E13))*AC14,IF(O13=1.75,($I$112-($I$101*E13))*AC14,IF(O13=0.36,($I$106-($I$95*E13))*AC14)))))))</f>
        <v>0</v>
      </c>
      <c r="K14" s="516"/>
      <c r="L14" s="500"/>
      <c r="M14" s="517"/>
      <c r="N14" s="54">
        <f>I14+J14</f>
        <v>0</v>
      </c>
      <c r="O14" s="518"/>
      <c r="P14" s="520"/>
      <c r="Q14" s="500"/>
      <c r="R14" s="502"/>
      <c r="S14" s="505"/>
      <c r="T14" s="180">
        <f>IF(AC14=0,0,(N14+N13)-$H$78*K13-S13-AL14-AM14-AQ14-AR14)</f>
        <v>0</v>
      </c>
      <c r="U14" s="507"/>
      <c r="V14" s="612"/>
      <c r="W14" s="613"/>
      <c r="X14" s="175"/>
      <c r="Y14" s="48" t="s">
        <v>11</v>
      </c>
      <c r="Z14" s="48">
        <v>1</v>
      </c>
      <c r="AA14" s="48" t="s">
        <v>106</v>
      </c>
      <c r="AB14" s="176"/>
      <c r="AC14" s="49">
        <f>IF(AND(G15&gt;1.5,G15&lt;=3),G15,IF(G15&gt;3,0,0))</f>
        <v>0</v>
      </c>
      <c r="AD14" s="177">
        <f t="shared" ref="AD14:AD16" si="4">AC14-(AO14+AP14)</f>
        <v>0</v>
      </c>
      <c r="AE14" s="177">
        <f t="shared" ref="AE14:AE16" si="5">IF(AD14&gt;0,AC14,AD14)</f>
        <v>0</v>
      </c>
      <c r="AF14" s="177" t="str">
        <f t="shared" si="0"/>
        <v/>
      </c>
      <c r="AG14" s="178" t="str">
        <f>IF(AND(AC15=0,AC13=1.5,AC14&lt;&gt;0),"Berço","")</f>
        <v/>
      </c>
      <c r="AH14" s="178" t="str">
        <f>IF(AND(AE15=0,AE13=1.5,AE14&lt;&gt;0),"Tubo","")</f>
        <v/>
      </c>
      <c r="AI14" s="177" t="str">
        <f t="shared" si="1"/>
        <v/>
      </c>
      <c r="AJ14" s="52">
        <f>IF(AI15&lt;0,-AI15,0)</f>
        <v>0</v>
      </c>
      <c r="AK14" s="50">
        <f t="shared" ref="AK14:AK16" si="6">IF(AND(AH14="Tubo",AI14&lt;0),AF14,IF(AH14="Tubo",$O$13,0))</f>
        <v>0</v>
      </c>
      <c r="AL14" s="50">
        <f>(AJ14/2)^2*3.1416*D13</f>
        <v>0</v>
      </c>
      <c r="AM14" s="51">
        <f>(AK14/2)^2*3.1416*D13</f>
        <v>0</v>
      </c>
      <c r="AN14" s="50">
        <f t="shared" ref="AN14:AN15" si="7">IF(AG14="Berço",AC14-$Q$15,AC14)</f>
        <v>0</v>
      </c>
      <c r="AO14" s="50">
        <f>IF(AN15&lt;0,-AN15,0)</f>
        <v>0</v>
      </c>
      <c r="AP14" s="52">
        <f t="shared" si="2"/>
        <v>0</v>
      </c>
      <c r="AQ14" s="50">
        <f t="shared" si="3"/>
        <v>0</v>
      </c>
      <c r="AR14" s="52">
        <f t="shared" si="3"/>
        <v>0</v>
      </c>
      <c r="AS14" s="609"/>
      <c r="AT14" s="610"/>
      <c r="AU14" s="52">
        <f>IF(W13="A",0,(VLOOKUP(O13,$A$106:$I$112,6,FALSE)))</f>
        <v>0</v>
      </c>
      <c r="AV14" s="52">
        <f>IF(W13="A",0,(VLOOKUP(O13,$A$104:$D$109,4,FALSE)*D13))</f>
        <v>0</v>
      </c>
      <c r="AW14" s="52">
        <f>IF(W15="A",0,K13*$G$134+L15*$F$138)</f>
        <v>0</v>
      </c>
      <c r="AX14" s="181"/>
    </row>
    <row r="15" spans="1:50">
      <c r="A15" s="523"/>
      <c r="B15" s="508" t="s">
        <v>195</v>
      </c>
      <c r="C15" s="527"/>
      <c r="D15" s="529"/>
      <c r="E15" s="531"/>
      <c r="F15" s="611">
        <v>0</v>
      </c>
      <c r="G15" s="510">
        <f>(G13+Q15)</f>
        <v>1.5</v>
      </c>
      <c r="H15" s="171">
        <f>D13*AC15*2</f>
        <v>0</v>
      </c>
      <c r="I15" s="171">
        <f>(H15*E13)/2</f>
        <v>0</v>
      </c>
      <c r="J15" s="171">
        <f>IF(O13=0.48,($I$107-($I$96*E13))*AC15,IF(O13=0.72,($I$108-($I$97*E13))*AC15,IF(O13=0.95,($I$109-($I$98*E13))*AC15,IF(O13=1.2,($I$110-($I$99*E13))*AC15,IF(O13=1.4,($I$111-($I$100*E13))*AC15,IF(O13=1.75,($I$112-($I$101*E13))*AC15,IF(O13=0.36,($I$106-($I$95*E13))*AC15)))))))</f>
        <v>0</v>
      </c>
      <c r="K15" s="516"/>
      <c r="L15" s="512">
        <v>1</v>
      </c>
      <c r="M15" s="517"/>
      <c r="N15" s="54">
        <f>I15+J15</f>
        <v>0</v>
      </c>
      <c r="O15" s="518"/>
      <c r="P15" s="520"/>
      <c r="Q15" s="500">
        <f>IF(R13=H$74,0,IF(R13=H$75,0.2,IF(R13=H$76,0.3)))</f>
        <v>0</v>
      </c>
      <c r="R15" s="502"/>
      <c r="S15" s="505"/>
      <c r="T15" s="180">
        <f>IF(AC15=0,0,(N15+N13)-$H$78*K13-S13-AL15-AM15-AQ15-AR15)</f>
        <v>0</v>
      </c>
      <c r="U15" s="507"/>
      <c r="V15" s="612">
        <v>0</v>
      </c>
      <c r="W15" s="613"/>
      <c r="X15" s="175" t="s">
        <v>107</v>
      </c>
      <c r="Y15" s="48" t="s">
        <v>13</v>
      </c>
      <c r="Z15" s="48">
        <v>1</v>
      </c>
      <c r="AA15" s="48" t="s">
        <v>12</v>
      </c>
      <c r="AB15" s="176"/>
      <c r="AC15" s="49">
        <f>IF(AND(G15&gt;3,G15&lt;=4.5),G15,IF(G15&gt;4.5,0,0))</f>
        <v>0</v>
      </c>
      <c r="AD15" s="177">
        <f t="shared" si="4"/>
        <v>0</v>
      </c>
      <c r="AE15" s="177">
        <f t="shared" si="5"/>
        <v>0</v>
      </c>
      <c r="AF15" s="177" t="str">
        <f t="shared" si="0"/>
        <v/>
      </c>
      <c r="AG15" s="178" t="str">
        <f>IF(AND(AC16=0,AC14=1.5,AC15&lt;&gt;0),"Berço","")</f>
        <v/>
      </c>
      <c r="AH15" s="178" t="str">
        <f>IF(AND(AE16=0,AE14=1.5,AE15&lt;&gt;0),"Tubo","")</f>
        <v/>
      </c>
      <c r="AI15" s="177" t="str">
        <f t="shared" si="1"/>
        <v/>
      </c>
      <c r="AJ15" s="52">
        <f>IF(AI16&lt;0,-AI16,0)</f>
        <v>0</v>
      </c>
      <c r="AK15" s="50">
        <f t="shared" si="6"/>
        <v>0</v>
      </c>
      <c r="AL15" s="50">
        <f>(AJ15/2)^2*3.1416*D13</f>
        <v>0</v>
      </c>
      <c r="AM15" s="51">
        <f>(AK15/2)^2*3.1416*D13</f>
        <v>0</v>
      </c>
      <c r="AN15" s="50">
        <f t="shared" si="7"/>
        <v>0</v>
      </c>
      <c r="AO15" s="50">
        <f>IF(AN16&lt;0,-AN16,0)</f>
        <v>0</v>
      </c>
      <c r="AP15" s="52">
        <f t="shared" si="2"/>
        <v>0</v>
      </c>
      <c r="AQ15" s="50">
        <f t="shared" si="3"/>
        <v>0</v>
      </c>
      <c r="AR15" s="52">
        <f t="shared" si="3"/>
        <v>0</v>
      </c>
      <c r="AS15" s="609"/>
      <c r="AT15" s="610"/>
      <c r="AU15" s="177"/>
      <c r="AV15" s="177"/>
      <c r="AW15" s="177"/>
      <c r="AX15" s="179"/>
    </row>
    <row r="16" spans="1:50">
      <c r="A16" s="523"/>
      <c r="B16" s="509"/>
      <c r="C16" s="528"/>
      <c r="D16" s="529"/>
      <c r="E16" s="532"/>
      <c r="F16" s="521"/>
      <c r="G16" s="511"/>
      <c r="H16" s="182">
        <f>D13*AC16*2</f>
        <v>0</v>
      </c>
      <c r="I16" s="171">
        <f>(H16*E13)/2</f>
        <v>0</v>
      </c>
      <c r="J16" s="182">
        <f>IF(O$13=0.48,($I$107-($I$96*E$13))*AC16,IF(O$13=0.72,($I$108-($I$97*E$13))*AC16,IF(O$13=0.95,($I$109-($I$98*E$13))*AC16,IF(O$13=1.2,($I$110-($I$99*E$13))*AC16,IF(O$13=1.4,($I$111-($I$100*E$13))*AC16,IF(O$13=1.75,($I$112-($I$101*E$13))*AC16,IF(O$13=0.36,($I$106-($I$95*E$13))*AC16)))))))</f>
        <v>0</v>
      </c>
      <c r="K16" s="516"/>
      <c r="L16" s="513"/>
      <c r="M16" s="517"/>
      <c r="N16" s="54">
        <f>I16+J16</f>
        <v>0</v>
      </c>
      <c r="O16" s="518"/>
      <c r="P16" s="521"/>
      <c r="Q16" s="514"/>
      <c r="R16" s="503"/>
      <c r="S16" s="506"/>
      <c r="T16" s="183">
        <f>IF(AC16=0,0,(N16+N13)-$H$78*K13-S13-AL16-AM16-AQ16-AR16)</f>
        <v>0</v>
      </c>
      <c r="U16" s="507"/>
      <c r="V16" s="503"/>
      <c r="W16" s="613"/>
      <c r="X16" s="175"/>
      <c r="Y16" s="48" t="s">
        <v>107</v>
      </c>
      <c r="Z16" s="48">
        <v>1</v>
      </c>
      <c r="AA16" s="48" t="s">
        <v>108</v>
      </c>
      <c r="AB16" s="176"/>
      <c r="AC16" s="49">
        <f>IF(AND(G15&gt;4.5,G15&lt;=6),G15,IF(G15&gt;6,0,0))</f>
        <v>0</v>
      </c>
      <c r="AD16" s="177">
        <f t="shared" si="4"/>
        <v>0</v>
      </c>
      <c r="AE16" s="177">
        <f t="shared" si="5"/>
        <v>0</v>
      </c>
      <c r="AF16" s="177" t="str">
        <f>IF(AND(AH16="Tubo",AC16&gt;=0.2),AC16-0.2,IF(AH16="tubo",AC16,""))</f>
        <v/>
      </c>
      <c r="AG16" s="178" t="str">
        <f>IF(AC16&lt;&gt;0,"Berço","")</f>
        <v/>
      </c>
      <c r="AH16" s="178" t="str">
        <f>IF(AE16&lt;&gt;0,"Tubo","")</f>
        <v/>
      </c>
      <c r="AI16" s="177" t="str">
        <f t="shared" si="1"/>
        <v/>
      </c>
      <c r="AJ16" s="52">
        <v>0</v>
      </c>
      <c r="AK16" s="50">
        <f t="shared" si="6"/>
        <v>0</v>
      </c>
      <c r="AL16" s="50">
        <f>(AJ16/2)^2*3.1416*D13</f>
        <v>0</v>
      </c>
      <c r="AM16" s="51">
        <f>(AK16/2)^2*3.1416*D13</f>
        <v>0</v>
      </c>
      <c r="AN16" s="50">
        <f>IF(AG16="Berço",AC16-$Q$15,AC16)</f>
        <v>0</v>
      </c>
      <c r="AO16" s="50">
        <v>0</v>
      </c>
      <c r="AP16" s="52">
        <f t="shared" si="2"/>
        <v>0</v>
      </c>
      <c r="AQ16" s="50">
        <f t="shared" si="3"/>
        <v>0</v>
      </c>
      <c r="AR16" s="52">
        <f t="shared" si="3"/>
        <v>0</v>
      </c>
      <c r="AS16" s="609"/>
      <c r="AT16" s="610"/>
      <c r="AU16" s="177"/>
      <c r="AV16" s="177"/>
      <c r="AW16" s="177"/>
      <c r="AX16" s="179"/>
    </row>
    <row r="17" spans="1:50">
      <c r="A17" s="523"/>
      <c r="B17" s="533"/>
      <c r="C17" s="534"/>
      <c r="D17" s="537">
        <v>13</v>
      </c>
      <c r="E17" s="538">
        <f>IF(O17=A$84,B$84,IF(O17=A$85,B$85,IF(O17=A$86,B$86,IF(O17=A$87,B$87,IF(O17=A$88,B$88,IF(O17=A$89,B$89,IF(O17=A$90,B$90,IF(O17=A$83,B$83))))))))</f>
        <v>0.8</v>
      </c>
      <c r="F17" s="484">
        <v>1.1000000000000001</v>
      </c>
      <c r="G17" s="484">
        <f>(F17+F19)/2</f>
        <v>1.2000000000000002</v>
      </c>
      <c r="H17" s="184">
        <f>D17*(AC17-AB17)*2</f>
        <v>31.200000000000003</v>
      </c>
      <c r="I17" s="185">
        <f>(H17*E17)/2</f>
        <v>12.480000000000002</v>
      </c>
      <c r="J17" s="184">
        <f>IF(O$17=0.48,($I$107-($I$96*E$17))*AC17,IF(O$17=0.72,($I$108-($I$97*E$17))*AC17,IF(O$17=0.95,($I$109-($I$98*E$17))*AC17,IF(O$17=1.2,($I$110-($I$99*E$17))*AC17,IF(O$17=1.4,($I$111-($I$100*E$17))*AC17,IF(O$17=1.75,($I$112-($I$101*E$17))*AC17,IF(O$17=0.36,($I$106-($I$95*E$17))*AC17)))))))</f>
        <v>4.2000000000000011</v>
      </c>
      <c r="K17" s="496">
        <v>0</v>
      </c>
      <c r="L17" s="482">
        <f>IF(Y17="A",((L19*$D$120)+(($C$116-$D$75)*$K17)),IF(Y17="L",((L19*$D$120)+(($C$116-$D$76)*$K17)),IF(Y17="P",((L19*$D$120)+(($C$116-$D$77)*$K17)),IF(Y17="M",((L19*$D$120)+($C$116*$K17))))))</f>
        <v>1.008</v>
      </c>
      <c r="M17" s="497">
        <f>N17+N18+N19+N20</f>
        <v>17.688000000000002</v>
      </c>
      <c r="N17" s="186">
        <f>I17+J17+L17</f>
        <v>17.688000000000002</v>
      </c>
      <c r="O17" s="498">
        <v>0.36</v>
      </c>
      <c r="P17" s="479">
        <f>((O17/2)^2*3.1416)*D17</f>
        <v>1.3232419199999998</v>
      </c>
      <c r="Q17" s="482">
        <f>(E17*D17)*$Q19</f>
        <v>0</v>
      </c>
      <c r="R17" s="484" t="str">
        <f>IF(AND(G17&lt;=1.5,O17&lt;0.72),"Solo",IF(AND(G17&lt;=4&gt;1.5,O17&lt;=0.72),"Brita",IF(AND(G17&lt;6&gt;4,O17&gt;=0.72),"Rach/Brita")))</f>
        <v>Solo</v>
      </c>
      <c r="S17" s="486">
        <f>(D17*E17+K17*$B$116)*0.3</f>
        <v>3.12</v>
      </c>
      <c r="T17" s="187">
        <f>IF(AC17=0,0,N17-$H$78*K17-S17-AL17-AM17-AQ17-AR17)</f>
        <v>13.244758080000002</v>
      </c>
      <c r="U17" s="489">
        <f>M17-S17</f>
        <v>14.568000000000001</v>
      </c>
      <c r="V17" s="484">
        <f>IF(W17="A",E17*D17+($K17*$G$116)+$F$120*$L19+$Z$141,IF(W17="L",(E17+1)*D17+($K17*$G$116)+$F$120*$L19+$Z$141,IF(W17="P",(E17+1)*D17+($K17*$G$116)+$F$120*$L19+$Z$141,IF(W17="M",E17*D17+$K17*$G$116+$F$120*$L19))))</f>
        <v>10.88</v>
      </c>
      <c r="W17" s="608" t="s">
        <v>105</v>
      </c>
      <c r="X17" s="175" t="s">
        <v>104</v>
      </c>
      <c r="Y17" s="48" t="s">
        <v>105</v>
      </c>
      <c r="Z17" s="48">
        <v>1</v>
      </c>
      <c r="AA17" s="48" t="s">
        <v>105</v>
      </c>
      <c r="AB17" s="176">
        <f>VLOOKUP(W17,$A$75:$D$79,4,FALSE)</f>
        <v>0</v>
      </c>
      <c r="AC17" s="49">
        <f>IF(G19&gt;1.5,0,G19)</f>
        <v>1.2000000000000002</v>
      </c>
      <c r="AD17" s="177">
        <f>AC17-(AO17+AP17)</f>
        <v>1.2000000000000002</v>
      </c>
      <c r="AE17" s="177">
        <f>IF(AD17&gt;0,AC17,AD17)</f>
        <v>1.2000000000000002</v>
      </c>
      <c r="AF17" s="177">
        <f t="shared" ref="AF17:AF19" si="8">IF(AND(AH17="Tubo",AC17&gt;=0.2),AC17-0.2,IF(AH17="tubo",AC17,""))</f>
        <v>1.0000000000000002</v>
      </c>
      <c r="AG17" s="178" t="str">
        <f>IF(AC18=0,"Berço","")</f>
        <v>Berço</v>
      </c>
      <c r="AH17" s="178" t="str">
        <f>IF(AE18=0,"Tubo","")</f>
        <v>Tubo</v>
      </c>
      <c r="AI17" s="177">
        <f t="shared" si="1"/>
        <v>0.64000000000000024</v>
      </c>
      <c r="AJ17" s="52">
        <f>IF(AI18&lt;0,-AI18,0)</f>
        <v>0</v>
      </c>
      <c r="AK17" s="50">
        <f>IF(AND(AH17="Tubo",AI17&lt;0),AF17,IF(AH17="Tubo",$O$13,0))</f>
        <v>0.36</v>
      </c>
      <c r="AL17" s="50">
        <f>(AJ17/2)^2*3.1416*D17</f>
        <v>0</v>
      </c>
      <c r="AM17" s="51">
        <f>(AK17/2)^2*3.1416*D17</f>
        <v>1.3232419199999998</v>
      </c>
      <c r="AN17" s="50">
        <f>IF(AG17="Berço",AC17-$Q$15,AC17)</f>
        <v>1.2000000000000002</v>
      </c>
      <c r="AO17" s="50">
        <f>IF(AN18&lt;0,-AN18,0)</f>
        <v>0</v>
      </c>
      <c r="AP17" s="52">
        <f t="shared" si="2"/>
        <v>0</v>
      </c>
      <c r="AQ17" s="50">
        <f t="shared" si="3"/>
        <v>0</v>
      </c>
      <c r="AR17" s="52">
        <f>AP17*$E$13*$D$13</f>
        <v>0</v>
      </c>
      <c r="AS17" s="609">
        <f>SUM(AQ17:AR20)+SUM(AL17:AM20)+K17*$H$98+E$138*L19+S17+SUM(T17:T20)</f>
        <v>17.688000000000002</v>
      </c>
      <c r="AT17" s="610" t="b">
        <f>AS17=M17</f>
        <v>1</v>
      </c>
      <c r="AU17" s="52">
        <f>IF(W17="A",VLOOKUP(O17,$A$106:$I$112,9,FALSE),0)</f>
        <v>5.5</v>
      </c>
      <c r="AV17" s="52">
        <f>IF(W17="A",D17*E17,0)</f>
        <v>10.4</v>
      </c>
      <c r="AW17" s="52">
        <f>IF(W19="A",K17*$B$103+L19*$F$138,0)</f>
        <v>0</v>
      </c>
      <c r="AX17" s="179"/>
    </row>
    <row r="18" spans="1:50">
      <c r="A18" s="523"/>
      <c r="B18" s="490"/>
      <c r="C18" s="535"/>
      <c r="D18" s="537"/>
      <c r="E18" s="539"/>
      <c r="F18" s="492"/>
      <c r="G18" s="492"/>
      <c r="H18" s="188">
        <f>D17*AC18*2</f>
        <v>0</v>
      </c>
      <c r="I18" s="188">
        <f>(H18*E17)/2</f>
        <v>0</v>
      </c>
      <c r="J18" s="188">
        <f>IF(O17=0.48,($I$107-($I$96*E17))*AC18,IF(O17=0.72,($I$108-($I$97*E17))*AC18,IF(O17=0.95,($I$109-($I$98*E17))*AC18,IF(O17=1.2,($I$110-($I$99*E17))*AC18,IF(O17=1.4,($I$111-($I$100*E17))*AC18,IF(O17=1.75,($I$112-($I$101*E17))*AC18,IF(O17=0.36,($I$106-($I$95*E17))*AC18)))))))</f>
        <v>0</v>
      </c>
      <c r="K18" s="496"/>
      <c r="L18" s="483"/>
      <c r="M18" s="497"/>
      <c r="N18" s="189">
        <f>I18+J18</f>
        <v>0</v>
      </c>
      <c r="O18" s="498"/>
      <c r="P18" s="480"/>
      <c r="Q18" s="483"/>
      <c r="R18" s="480"/>
      <c r="S18" s="487"/>
      <c r="T18" s="190">
        <f>IF(AC18=0,0,(N18+N17)-$H$78*K17-S17-AL18-AM18-AQ18-AR18)</f>
        <v>0</v>
      </c>
      <c r="U18" s="489"/>
      <c r="V18" s="492"/>
      <c r="W18" s="608"/>
      <c r="X18" s="175"/>
      <c r="Y18" s="48" t="s">
        <v>11</v>
      </c>
      <c r="Z18" s="48">
        <v>1</v>
      </c>
      <c r="AA18" s="48" t="s">
        <v>106</v>
      </c>
      <c r="AB18" s="176"/>
      <c r="AC18" s="49">
        <f>IF(AND(G19&gt;1.5,G19&lt;=3),G19,IF(G19&gt;3,0,0))</f>
        <v>0</v>
      </c>
      <c r="AD18" s="177">
        <f t="shared" ref="AD18:AD20" si="9">AC18-(AO18+AP18)</f>
        <v>0</v>
      </c>
      <c r="AE18" s="177">
        <f t="shared" ref="AE18:AE20" si="10">IF(AD18&gt;0,AC18,AD18)</f>
        <v>0</v>
      </c>
      <c r="AF18" s="177" t="str">
        <f t="shared" si="8"/>
        <v/>
      </c>
      <c r="AG18" s="178" t="str">
        <f>IF(AND(AC19=0,AC17=1.5,AC18&lt;&gt;0),"Berço","")</f>
        <v/>
      </c>
      <c r="AH18" s="178" t="str">
        <f>IF(AND(AE19=0,AE17=1.5,AE18&lt;&gt;0),"Tubo","")</f>
        <v/>
      </c>
      <c r="AI18" s="177" t="str">
        <f t="shared" si="1"/>
        <v/>
      </c>
      <c r="AJ18" s="52">
        <f>IF(AI19&lt;0,-AI19,0)</f>
        <v>0</v>
      </c>
      <c r="AK18" s="50">
        <f t="shared" ref="AK18:AK20" si="11">IF(AND(AH18="Tubo",AI18&lt;0),AF18,IF(AH18="Tubo",$O$13,0))</f>
        <v>0</v>
      </c>
      <c r="AL18" s="50">
        <f>(AJ18/2)^2*3.1416*D17</f>
        <v>0</v>
      </c>
      <c r="AM18" s="51">
        <f>(AK18/2)^2*3.1416*D17</f>
        <v>0</v>
      </c>
      <c r="AN18" s="50">
        <f t="shared" ref="AN18:AN19" si="12">IF(AG18="Berço",AC18-$Q$15,AC18)</f>
        <v>0</v>
      </c>
      <c r="AO18" s="50">
        <f>IF(AN19&lt;0,-AN19,0)</f>
        <v>0</v>
      </c>
      <c r="AP18" s="52">
        <f t="shared" si="2"/>
        <v>0</v>
      </c>
      <c r="AQ18" s="50">
        <f t="shared" si="3"/>
        <v>0</v>
      </c>
      <c r="AR18" s="52">
        <f t="shared" si="3"/>
        <v>0</v>
      </c>
      <c r="AS18" s="609"/>
      <c r="AT18" s="610"/>
      <c r="AU18" s="52">
        <f>IF(W17="A",0,(VLOOKUP(O17,$A$106:$I$112,6,FALSE)))</f>
        <v>0</v>
      </c>
      <c r="AV18" s="52">
        <f>IF(W17="A",0,(VLOOKUP(O17,$A$104:$D$109,4,FALSE)*D17))</f>
        <v>0</v>
      </c>
      <c r="AW18" s="52">
        <f>IF(W19="A",0,K17*$G$134+L19*$F$138)</f>
        <v>0</v>
      </c>
      <c r="AX18" s="181"/>
    </row>
    <row r="19" spans="1:50">
      <c r="A19" s="523"/>
      <c r="B19" s="490"/>
      <c r="C19" s="535"/>
      <c r="D19" s="537"/>
      <c r="E19" s="539"/>
      <c r="F19" s="492">
        <v>1.3</v>
      </c>
      <c r="G19" s="492">
        <f>(G17+Q19)</f>
        <v>1.2000000000000002</v>
      </c>
      <c r="H19" s="188">
        <f>D17*AC19*2</f>
        <v>0</v>
      </c>
      <c r="I19" s="188">
        <f>(H19*E17)/2</f>
        <v>0</v>
      </c>
      <c r="J19" s="188">
        <f>IF(O17=0.48,($I$107-($I$96*E17))*AC19,IF(O17=0.72,($I$108-($I$97*E17))*AC19,IF(O17=0.95,($I$109-($I$98*E17))*AC19,IF(O17=1.2,($I$110-($I$99*E17))*AC19,IF(O17=1.4,($I$111-($I$100*E17))*AC19,IF(O17=1.75,($I$112-($I$101*E17))*AC19,IF(O17=0.36,($I$106-($I$95*E17))*AC19)))))))</f>
        <v>0</v>
      </c>
      <c r="K19" s="496"/>
      <c r="L19" s="493">
        <v>1</v>
      </c>
      <c r="M19" s="497"/>
      <c r="N19" s="189">
        <f>I19+J19</f>
        <v>0</v>
      </c>
      <c r="O19" s="498"/>
      <c r="P19" s="480"/>
      <c r="Q19" s="483">
        <f>IF(R17=H$74,0,IF(R17=H$75,0.2,IF(R17=H$76,0.3)))</f>
        <v>0</v>
      </c>
      <c r="R19" s="480"/>
      <c r="S19" s="487"/>
      <c r="T19" s="190">
        <f>IF(AC19=0,0,(N19+N17)-$H$78*K17-S17-AL19-AM19-AQ19-AR19)</f>
        <v>0</v>
      </c>
      <c r="U19" s="489"/>
      <c r="V19" s="492">
        <v>0</v>
      </c>
      <c r="W19" s="608"/>
      <c r="X19" s="175" t="s">
        <v>107</v>
      </c>
      <c r="Y19" s="48" t="s">
        <v>13</v>
      </c>
      <c r="Z19" s="48">
        <v>1</v>
      </c>
      <c r="AA19" s="48" t="s">
        <v>12</v>
      </c>
      <c r="AB19" s="176"/>
      <c r="AC19" s="49">
        <f>IF(AND(G19&gt;3,G19&lt;=4.5),G19,IF(G19&gt;4.5,0,0))</f>
        <v>0</v>
      </c>
      <c r="AD19" s="177">
        <f t="shared" si="9"/>
        <v>0</v>
      </c>
      <c r="AE19" s="177">
        <f t="shared" si="10"/>
        <v>0</v>
      </c>
      <c r="AF19" s="177" t="str">
        <f t="shared" si="8"/>
        <v/>
      </c>
      <c r="AG19" s="178" t="str">
        <f>IF(AND(AC20=0,AC18=1.5,AC19&lt;&gt;0),"Berço","")</f>
        <v/>
      </c>
      <c r="AH19" s="178" t="str">
        <f>IF(AND(AE20=0,AE18=1.5,AE19&lt;&gt;0),"Tubo","")</f>
        <v/>
      </c>
      <c r="AI19" s="177" t="str">
        <f t="shared" si="1"/>
        <v/>
      </c>
      <c r="AJ19" s="52">
        <f>IF(AI20&lt;0,-AI20,0)</f>
        <v>0</v>
      </c>
      <c r="AK19" s="50">
        <f t="shared" si="11"/>
        <v>0</v>
      </c>
      <c r="AL19" s="50">
        <f>(AJ19/2)^2*3.1416*D17</f>
        <v>0</v>
      </c>
      <c r="AM19" s="51">
        <f>(AK19/2)^2*3.1416*D17</f>
        <v>0</v>
      </c>
      <c r="AN19" s="50">
        <f t="shared" si="12"/>
        <v>0</v>
      </c>
      <c r="AO19" s="50">
        <f>IF(AN20&lt;0,-AN20,0)</f>
        <v>0</v>
      </c>
      <c r="AP19" s="52">
        <f t="shared" si="2"/>
        <v>0</v>
      </c>
      <c r="AQ19" s="50">
        <f t="shared" si="3"/>
        <v>0</v>
      </c>
      <c r="AR19" s="52">
        <f t="shared" si="3"/>
        <v>0</v>
      </c>
      <c r="AS19" s="609"/>
      <c r="AT19" s="610"/>
      <c r="AU19" s="177"/>
      <c r="AV19" s="177"/>
      <c r="AW19" s="177"/>
      <c r="AX19" s="179"/>
    </row>
    <row r="20" spans="1:50">
      <c r="A20" s="524"/>
      <c r="B20" s="491"/>
      <c r="C20" s="536"/>
      <c r="D20" s="537"/>
      <c r="E20" s="540"/>
      <c r="F20" s="485"/>
      <c r="G20" s="485"/>
      <c r="H20" s="191">
        <f>D17*AC20*2</f>
        <v>0</v>
      </c>
      <c r="I20" s="191">
        <f>(H20*E17)/2</f>
        <v>0</v>
      </c>
      <c r="J20" s="191">
        <f>IF(O$17=0.48,($I$107-($I$96*E$17))*AC20,IF(O$17=0.72,($I$108-($I$97*E$17))*AC20,IF(O$17=0.95,($I$109-($I$98*E$17))*AC20,IF(O$17=1.2,($I$110-($I$99*E$17))*AC20,IF(O$17=1.4,($I$111-($I$100*E$17))*AC20,IF(O$17=1.75,($I$112-($I$101*E$17))*AC20,IF(O$17=0.36,($I$106-($I$95*E$17))*AC20)))))))</f>
        <v>0</v>
      </c>
      <c r="K20" s="496"/>
      <c r="L20" s="494"/>
      <c r="M20" s="497"/>
      <c r="N20" s="189">
        <f>I20+J20</f>
        <v>0</v>
      </c>
      <c r="O20" s="498"/>
      <c r="P20" s="481"/>
      <c r="Q20" s="495"/>
      <c r="R20" s="485"/>
      <c r="S20" s="488"/>
      <c r="T20" s="192">
        <f>IF(AC20=0,0,(N20+N17)-$H$78*K17-S17-AL20-AM20-AQ20-AR20)</f>
        <v>0</v>
      </c>
      <c r="U20" s="489"/>
      <c r="V20" s="485"/>
      <c r="W20" s="608"/>
      <c r="X20" s="175"/>
      <c r="Y20" s="48" t="s">
        <v>107</v>
      </c>
      <c r="Z20" s="48">
        <v>1</v>
      </c>
      <c r="AA20" s="48" t="s">
        <v>108</v>
      </c>
      <c r="AB20" s="176"/>
      <c r="AC20" s="49">
        <f>IF(AND(G19&gt;4.5,G19&lt;=6),G19,IF(G19&gt;6,0,0))</f>
        <v>0</v>
      </c>
      <c r="AD20" s="177">
        <f t="shared" si="9"/>
        <v>0</v>
      </c>
      <c r="AE20" s="177">
        <f t="shared" si="10"/>
        <v>0</v>
      </c>
      <c r="AF20" s="177" t="str">
        <f>IF(AND(AH20="Tubo",AC20&gt;=0.2),AC20-0.2,IF(AH20="tubo",AC20,""))</f>
        <v/>
      </c>
      <c r="AG20" s="178" t="str">
        <f>IF(AC20&lt;&gt;0,"Berço","")</f>
        <v/>
      </c>
      <c r="AH20" s="178" t="str">
        <f>IF(AE20&lt;&gt;0,"Tubo","")</f>
        <v/>
      </c>
      <c r="AI20" s="177" t="str">
        <f t="shared" si="1"/>
        <v/>
      </c>
      <c r="AJ20" s="52">
        <v>0</v>
      </c>
      <c r="AK20" s="50">
        <f t="shared" si="11"/>
        <v>0</v>
      </c>
      <c r="AL20" s="50">
        <f>(AJ20/2)^2*3.1416*D17</f>
        <v>0</v>
      </c>
      <c r="AM20" s="51">
        <f>(AK20/2)^2*3.1416*D17</f>
        <v>0</v>
      </c>
      <c r="AN20" s="50">
        <f>IF(AG20="Berço",AC20-$Q$15,AC20)</f>
        <v>0</v>
      </c>
      <c r="AO20" s="50">
        <v>0</v>
      </c>
      <c r="AP20" s="52">
        <f t="shared" si="2"/>
        <v>0</v>
      </c>
      <c r="AQ20" s="50">
        <f t="shared" si="3"/>
        <v>0</v>
      </c>
      <c r="AR20" s="52">
        <f t="shared" si="3"/>
        <v>0</v>
      </c>
      <c r="AS20" s="609"/>
      <c r="AT20" s="610"/>
      <c r="AU20" s="177"/>
      <c r="AV20" s="177"/>
      <c r="AW20" s="177"/>
      <c r="AX20" s="179"/>
    </row>
    <row r="21" spans="1:50">
      <c r="A21" s="522"/>
      <c r="B21" s="525"/>
      <c r="C21" s="526"/>
      <c r="D21" s="529">
        <v>2</v>
      </c>
      <c r="E21" s="530">
        <f>IF(O21=A$84,B$84,IF(O21=A$85,B$85,IF(O21=A$86,B$86,IF(O21=A$87,B$87,IF(O21=A$88,B$88,IF(O21=A$89,B$89,IF(O21=A$90,B$90,IF(O21=A$83,B$83))))))))</f>
        <v>0.8</v>
      </c>
      <c r="F21" s="515">
        <v>1.1000000000000001</v>
      </c>
      <c r="G21" s="515">
        <f>(F21+F23)/2</f>
        <v>1.2000000000000002</v>
      </c>
      <c r="H21" s="171">
        <f>D21*(AC21-AB21)*2</f>
        <v>0</v>
      </c>
      <c r="I21" s="172">
        <f>(H21*E21)/2</f>
        <v>0</v>
      </c>
      <c r="J21" s="173">
        <f>IF(O$13=0.48,($I$107-($I$96*E$13))*AC21,IF(O$13=0.72,($I$108-($I$97*E$13))*AC21,IF(O$13=0.95,($I$109-($I$98*E$13))*AC21,IF(O$13=1.2,($I$110-($I$99*E$13))*AC21,IF(O$13=1.4,($I$111-($I$100*E$13))*AC21,IF(O$13=1.75,($I$112-($I$101*E$13))*AC21,IF(O$13=0.36,($I$106-($I$95*E$13))*AC21)))))))</f>
        <v>0</v>
      </c>
      <c r="K21" s="516">
        <v>0</v>
      </c>
      <c r="L21" s="499" t="b">
        <f>IF(Y21="A",((L23*$D$120)+(($C$116-$D$75)*$K21)),IF(Y21="L",((L23*$D$120)+(($C$116-$D$76)*$K21)),IF(Y21="P",((L23*$D$120)+(($C$116-$D$77)*$K21)),IF(Y21="M",((L23*$D$120)+($C$116*$K21))))))</f>
        <v>0</v>
      </c>
      <c r="M21" s="517">
        <f>N21+N22+N23+N24</f>
        <v>0</v>
      </c>
      <c r="N21" s="47">
        <f>I21+J21+L21</f>
        <v>0</v>
      </c>
      <c r="O21" s="518">
        <v>0.36</v>
      </c>
      <c r="P21" s="519">
        <f>((O21/2)^2*3.1416)*D21</f>
        <v>0.20357567999999998</v>
      </c>
      <c r="Q21" s="499">
        <f>(E21*D21)*$Q23</f>
        <v>0</v>
      </c>
      <c r="R21" s="501" t="str">
        <f>IF(AND(G21&lt;=1.5,O21&lt;0.72),"Solo",IF(AND(G21&lt;=4&gt;1.5,O21&lt;=0.72),"Brita",IF(AND(G21&lt;6&gt;4,O21&gt;=0.72),"Rach/Brita")))</f>
        <v>Solo</v>
      </c>
      <c r="S21" s="504">
        <f>(D21*E21+K21*$B$116)*0.3</f>
        <v>0.48</v>
      </c>
      <c r="T21" s="174">
        <f>IF(AC21=0,0,N21-$H$78*K21-S21-AL21-AM21-AQ21-AR21)</f>
        <v>0</v>
      </c>
      <c r="U21" s="507">
        <f>M21-S21</f>
        <v>-0.48</v>
      </c>
      <c r="V21" s="277"/>
      <c r="W21" s="281"/>
      <c r="X21" s="175"/>
      <c r="Y21" s="48"/>
      <c r="Z21" s="48"/>
      <c r="AA21" s="48"/>
      <c r="AB21" s="176"/>
      <c r="AC21" s="49"/>
      <c r="AD21" s="177"/>
      <c r="AE21" s="177"/>
      <c r="AF21" s="177"/>
      <c r="AG21" s="178"/>
      <c r="AH21" s="178"/>
      <c r="AI21" s="177"/>
      <c r="AJ21" s="52"/>
      <c r="AK21" s="50"/>
      <c r="AL21" s="50"/>
      <c r="AM21" s="50"/>
      <c r="AN21" s="50"/>
      <c r="AO21" s="50"/>
      <c r="AP21" s="52"/>
      <c r="AQ21" s="50"/>
      <c r="AR21" s="52"/>
      <c r="AS21" s="50"/>
      <c r="AT21" s="52"/>
      <c r="AU21" s="177"/>
      <c r="AV21" s="177"/>
      <c r="AW21" s="177"/>
      <c r="AX21" s="179"/>
    </row>
    <row r="22" spans="1:50">
      <c r="A22" s="523"/>
      <c r="B22" s="508"/>
      <c r="C22" s="527"/>
      <c r="D22" s="529"/>
      <c r="E22" s="531"/>
      <c r="F22" s="510"/>
      <c r="G22" s="510"/>
      <c r="H22" s="171">
        <f>D21*AC22*2</f>
        <v>0</v>
      </c>
      <c r="I22" s="171">
        <f>(H22*E21)/2</f>
        <v>0</v>
      </c>
      <c r="J22" s="171">
        <f>IF(O21=0.48,($I$107-($I$96*E21))*AC22,IF(O21=0.72,($I$108-($I$97*E21))*AC22,IF(O21=0.95,($I$109-($I$98*E21))*AC22,IF(O21=1.2,($I$110-($I$99*E21))*AC22,IF(O21=1.4,($I$111-($I$100*E21))*AC22,IF(O21=1.75,($I$112-($I$101*E21))*AC22,IF(O21=0.36,($I$106-($I$95*E21))*AC22)))))))</f>
        <v>0</v>
      </c>
      <c r="K22" s="516"/>
      <c r="L22" s="500"/>
      <c r="M22" s="517"/>
      <c r="N22" s="54">
        <f>I22+J22</f>
        <v>0</v>
      </c>
      <c r="O22" s="518"/>
      <c r="P22" s="520"/>
      <c r="Q22" s="500"/>
      <c r="R22" s="502"/>
      <c r="S22" s="505"/>
      <c r="T22" s="180">
        <f>IF(AC22=0,0,(N22+N21)-$H$78*K21-S21-AL22-AM22-AQ22-AR22)</f>
        <v>0</v>
      </c>
      <c r="U22" s="507"/>
      <c r="V22" s="277"/>
      <c r="W22" s="281"/>
      <c r="X22" s="175"/>
      <c r="Y22" s="48"/>
      <c r="Z22" s="48"/>
      <c r="AA22" s="48"/>
      <c r="AB22" s="176"/>
      <c r="AC22" s="49"/>
      <c r="AD22" s="177"/>
      <c r="AE22" s="177"/>
      <c r="AF22" s="177"/>
      <c r="AG22" s="178"/>
      <c r="AH22" s="178"/>
      <c r="AI22" s="177"/>
      <c r="AJ22" s="52"/>
      <c r="AK22" s="50"/>
      <c r="AL22" s="50"/>
      <c r="AM22" s="50"/>
      <c r="AN22" s="50"/>
      <c r="AO22" s="50"/>
      <c r="AP22" s="52"/>
      <c r="AQ22" s="50"/>
      <c r="AR22" s="52"/>
      <c r="AS22" s="50"/>
      <c r="AT22" s="52"/>
      <c r="AU22" s="177"/>
      <c r="AV22" s="177"/>
      <c r="AW22" s="177"/>
      <c r="AX22" s="179"/>
    </row>
    <row r="23" spans="1:50">
      <c r="A23" s="523"/>
      <c r="B23" s="508"/>
      <c r="C23" s="527"/>
      <c r="D23" s="529"/>
      <c r="E23" s="531"/>
      <c r="F23" s="510">
        <v>1.3</v>
      </c>
      <c r="G23" s="510">
        <f>(G21+Q23)</f>
        <v>1.2000000000000002</v>
      </c>
      <c r="H23" s="171">
        <f>D21*AC23*2</f>
        <v>0</v>
      </c>
      <c r="I23" s="171">
        <f>(H23*E21)/2</f>
        <v>0</v>
      </c>
      <c r="J23" s="171">
        <f>IF(O21=0.48,($I$107-($I$96*E21))*AC23,IF(O21=0.72,($I$108-($I$97*E21))*AC23,IF(O21=0.95,($I$109-($I$98*E21))*AC23,IF(O21=1.2,($I$110-($I$99*E21))*AC23,IF(O21=1.4,($I$111-($I$100*E21))*AC23,IF(O21=1.75,($I$112-($I$101*E21))*AC23,IF(O21=0.36,($I$106-($I$95*E21))*AC23)))))))</f>
        <v>0</v>
      </c>
      <c r="K23" s="516"/>
      <c r="L23" s="512">
        <v>1</v>
      </c>
      <c r="M23" s="517"/>
      <c r="N23" s="54">
        <f>I23+J23</f>
        <v>0</v>
      </c>
      <c r="O23" s="518"/>
      <c r="P23" s="520"/>
      <c r="Q23" s="500">
        <f>IF(R21=H$74,0,IF(R21=H$75,0.2,IF(R21=H$76,0.3)))</f>
        <v>0</v>
      </c>
      <c r="R23" s="502"/>
      <c r="S23" s="505"/>
      <c r="T23" s="180">
        <f>IF(AC23=0,0,(N23+N21)-$H$78*K21-S21-AL23-AM23-AQ23-AR23)</f>
        <v>0</v>
      </c>
      <c r="U23" s="507"/>
      <c r="V23" s="277"/>
      <c r="W23" s="281"/>
      <c r="X23" s="175"/>
      <c r="Y23" s="48"/>
      <c r="Z23" s="48"/>
      <c r="AA23" s="48"/>
      <c r="AB23" s="176"/>
      <c r="AC23" s="49"/>
      <c r="AD23" s="177"/>
      <c r="AE23" s="177"/>
      <c r="AF23" s="177"/>
      <c r="AG23" s="178"/>
      <c r="AH23" s="178"/>
      <c r="AI23" s="177"/>
      <c r="AJ23" s="52"/>
      <c r="AK23" s="50"/>
      <c r="AL23" s="50"/>
      <c r="AM23" s="50"/>
      <c r="AN23" s="50"/>
      <c r="AO23" s="50"/>
      <c r="AP23" s="52"/>
      <c r="AQ23" s="50"/>
      <c r="AR23" s="52"/>
      <c r="AS23" s="50"/>
      <c r="AT23" s="52"/>
      <c r="AU23" s="177"/>
      <c r="AV23" s="177"/>
      <c r="AW23" s="177"/>
      <c r="AX23" s="179"/>
    </row>
    <row r="24" spans="1:50">
      <c r="A24" s="523"/>
      <c r="B24" s="509"/>
      <c r="C24" s="528"/>
      <c r="D24" s="529"/>
      <c r="E24" s="532"/>
      <c r="F24" s="511"/>
      <c r="G24" s="511"/>
      <c r="H24" s="182">
        <f>D21*AC24*2</f>
        <v>0</v>
      </c>
      <c r="I24" s="171">
        <f>(H24*E21)/2</f>
        <v>0</v>
      </c>
      <c r="J24" s="182">
        <f>IF(O$13=0.48,($I$107-($I$96*E$13))*AC24,IF(O$13=0.72,($I$108-($I$97*E$13))*AC24,IF(O$13=0.95,($I$109-($I$98*E$13))*AC24,IF(O$13=1.2,($I$110-($I$99*E$13))*AC24,IF(O$13=1.4,($I$111-($I$100*E$13))*AC24,IF(O$13=1.75,($I$112-($I$101*E$13))*AC24,IF(O$13=0.36,($I$106-($I$95*E$13))*AC24)))))))</f>
        <v>0</v>
      </c>
      <c r="K24" s="516"/>
      <c r="L24" s="513"/>
      <c r="M24" s="517"/>
      <c r="N24" s="54">
        <f>I24+J24</f>
        <v>0</v>
      </c>
      <c r="O24" s="518"/>
      <c r="P24" s="521"/>
      <c r="Q24" s="514"/>
      <c r="R24" s="503"/>
      <c r="S24" s="506"/>
      <c r="T24" s="183">
        <f>IF(AC24=0,0,(N24+N21)-$H$78*K21-S21-AL24-AM24-AQ24-AR24)</f>
        <v>0</v>
      </c>
      <c r="U24" s="507"/>
      <c r="V24" s="277"/>
      <c r="W24" s="281"/>
      <c r="X24" s="175"/>
      <c r="Y24" s="48"/>
      <c r="Z24" s="48"/>
      <c r="AA24" s="48"/>
      <c r="AB24" s="176"/>
      <c r="AC24" s="49"/>
      <c r="AD24" s="177"/>
      <c r="AE24" s="177"/>
      <c r="AF24" s="177"/>
      <c r="AG24" s="178"/>
      <c r="AH24" s="178"/>
      <c r="AI24" s="177"/>
      <c r="AJ24" s="52"/>
      <c r="AK24" s="50"/>
      <c r="AL24" s="50"/>
      <c r="AM24" s="50"/>
      <c r="AN24" s="50"/>
      <c r="AO24" s="50"/>
      <c r="AP24" s="52"/>
      <c r="AQ24" s="50"/>
      <c r="AR24" s="52"/>
      <c r="AS24" s="50"/>
      <c r="AT24" s="52"/>
      <c r="AU24" s="177"/>
      <c r="AV24" s="177"/>
      <c r="AW24" s="177"/>
      <c r="AX24" s="179"/>
    </row>
    <row r="25" spans="1:50">
      <c r="A25" s="523"/>
      <c r="B25" s="533"/>
      <c r="C25" s="534"/>
      <c r="D25" s="537">
        <v>13</v>
      </c>
      <c r="E25" s="538">
        <f>IF(O25=A$84,B$84,IF(O25=A$85,B$85,IF(O25=A$86,B$86,IF(O25=A$87,B$87,IF(O25=A$88,B$88,IF(O25=A$89,B$89,IF(O25=A$90,B$90,IF(O25=A$83,B$83))))))))</f>
        <v>0.8</v>
      </c>
      <c r="F25" s="484">
        <v>1.1000000000000001</v>
      </c>
      <c r="G25" s="484">
        <f>(F25+F27)/2</f>
        <v>1.2000000000000002</v>
      </c>
      <c r="H25" s="184">
        <f>D25*(AC25-AB25)*2</f>
        <v>0</v>
      </c>
      <c r="I25" s="185">
        <f>(H25*E25)/2</f>
        <v>0</v>
      </c>
      <c r="J25" s="184">
        <f>IF(O$17=0.48,($I$107-($I$96*E$17))*AC25,IF(O$17=0.72,($I$108-($I$97*E$17))*AC25,IF(O$17=0.95,($I$109-($I$98*E$17))*AC25,IF(O$17=1.2,($I$110-($I$99*E$17))*AC25,IF(O$17=1.4,($I$111-($I$100*E$17))*AC25,IF(O$17=1.75,($I$112-($I$101*E$17))*AC25,IF(O$17=0.36,($I$106-($I$95*E$17))*AC25)))))))</f>
        <v>0</v>
      </c>
      <c r="K25" s="496">
        <v>0</v>
      </c>
      <c r="L25" s="482" t="b">
        <f>IF(Y25="A",((L27*$D$120)+(($C$116-$D$75)*$K25)),IF(Y25="L",((L27*$D$120)+(($C$116-$D$76)*$K25)),IF(Y25="P",((L27*$D$120)+(($C$116-$D$77)*$K25)),IF(Y25="M",((L27*$D$120)+($C$116*$K25))))))</f>
        <v>0</v>
      </c>
      <c r="M25" s="497">
        <f>N25+N26+N27+N28</f>
        <v>0</v>
      </c>
      <c r="N25" s="186">
        <f>I25+J25+L25</f>
        <v>0</v>
      </c>
      <c r="O25" s="498">
        <v>0.36</v>
      </c>
      <c r="P25" s="479">
        <f>((O25/2)^2*3.1416)*D25</f>
        <v>1.3232419199999998</v>
      </c>
      <c r="Q25" s="482">
        <f>(E25*D25)*$Q27</f>
        <v>0</v>
      </c>
      <c r="R25" s="484" t="str">
        <f>IF(AND(G25&lt;=1.5,O25&lt;0.72),"Solo",IF(AND(G25&lt;=4&gt;1.5,O25&lt;=0.72),"Brita",IF(AND(G25&lt;6&gt;4,O25&gt;=0.72),"Rach/Brita")))</f>
        <v>Solo</v>
      </c>
      <c r="S25" s="486">
        <f>(D25*E25+K25*$B$116)*0.3</f>
        <v>3.12</v>
      </c>
      <c r="T25" s="187">
        <f>IF(AC25=0,0,N25-$H$78*K25-S25-AL25-AM25-AQ25-AR25)</f>
        <v>0</v>
      </c>
      <c r="U25" s="489">
        <f>M25-S25</f>
        <v>-3.12</v>
      </c>
      <c r="V25" s="277"/>
      <c r="W25" s="281"/>
      <c r="X25" s="175"/>
      <c r="Y25" s="48"/>
      <c r="Z25" s="48"/>
      <c r="AA25" s="48"/>
      <c r="AB25" s="176"/>
      <c r="AC25" s="49"/>
      <c r="AD25" s="177"/>
      <c r="AE25" s="177"/>
      <c r="AF25" s="177"/>
      <c r="AG25" s="178"/>
      <c r="AH25" s="178"/>
      <c r="AI25" s="177"/>
      <c r="AJ25" s="52"/>
      <c r="AK25" s="50"/>
      <c r="AL25" s="50"/>
      <c r="AM25" s="50"/>
      <c r="AN25" s="50"/>
      <c r="AO25" s="50"/>
      <c r="AP25" s="52"/>
      <c r="AQ25" s="50"/>
      <c r="AR25" s="52"/>
      <c r="AS25" s="50"/>
      <c r="AT25" s="52"/>
      <c r="AU25" s="177"/>
      <c r="AV25" s="177"/>
      <c r="AW25" s="177"/>
      <c r="AX25" s="179"/>
    </row>
    <row r="26" spans="1:50">
      <c r="A26" s="523"/>
      <c r="B26" s="490"/>
      <c r="C26" s="535"/>
      <c r="D26" s="537"/>
      <c r="E26" s="539"/>
      <c r="F26" s="492"/>
      <c r="G26" s="492"/>
      <c r="H26" s="188">
        <f>D25*AC26*2</f>
        <v>0</v>
      </c>
      <c r="I26" s="188">
        <f>(H26*E25)/2</f>
        <v>0</v>
      </c>
      <c r="J26" s="188">
        <f>IF(O25=0.48,($I$107-($I$96*E25))*AC26,IF(O25=0.72,($I$108-($I$97*E25))*AC26,IF(O25=0.95,($I$109-($I$98*E25))*AC26,IF(O25=1.2,($I$110-($I$99*E25))*AC26,IF(O25=1.4,($I$111-($I$100*E25))*AC26,IF(O25=1.75,($I$112-($I$101*E25))*AC26,IF(O25=0.36,($I$106-($I$95*E25))*AC26)))))))</f>
        <v>0</v>
      </c>
      <c r="K26" s="496"/>
      <c r="L26" s="483"/>
      <c r="M26" s="497"/>
      <c r="N26" s="189">
        <f>I26+J26</f>
        <v>0</v>
      </c>
      <c r="O26" s="498"/>
      <c r="P26" s="480"/>
      <c r="Q26" s="483"/>
      <c r="R26" s="480"/>
      <c r="S26" s="487"/>
      <c r="T26" s="190">
        <f>IF(AC26=0,0,(N26+N25)-$H$78*K25-S25-AL26-AM26-AQ26-AR26)</f>
        <v>0</v>
      </c>
      <c r="U26" s="489"/>
      <c r="V26" s="277"/>
      <c r="W26" s="281"/>
      <c r="X26" s="175"/>
      <c r="Y26" s="48"/>
      <c r="Z26" s="48"/>
      <c r="AA26" s="48"/>
      <c r="AB26" s="176"/>
      <c r="AC26" s="49"/>
      <c r="AD26" s="177"/>
      <c r="AE26" s="177"/>
      <c r="AF26" s="177"/>
      <c r="AG26" s="178"/>
      <c r="AH26" s="178"/>
      <c r="AI26" s="177"/>
      <c r="AJ26" s="52"/>
      <c r="AK26" s="50"/>
      <c r="AL26" s="50"/>
      <c r="AM26" s="50"/>
      <c r="AN26" s="50"/>
      <c r="AO26" s="50"/>
      <c r="AP26" s="52"/>
      <c r="AQ26" s="50"/>
      <c r="AR26" s="52"/>
      <c r="AS26" s="50"/>
      <c r="AT26" s="52"/>
      <c r="AU26" s="177"/>
      <c r="AV26" s="177"/>
      <c r="AW26" s="177"/>
      <c r="AX26" s="179"/>
    </row>
    <row r="27" spans="1:50">
      <c r="A27" s="523"/>
      <c r="B27" s="490"/>
      <c r="C27" s="535"/>
      <c r="D27" s="537"/>
      <c r="E27" s="539"/>
      <c r="F27" s="492">
        <v>1.3</v>
      </c>
      <c r="G27" s="492">
        <f>(G25+Q27)</f>
        <v>1.2000000000000002</v>
      </c>
      <c r="H27" s="188">
        <f>D25*AC27*2</f>
        <v>0</v>
      </c>
      <c r="I27" s="188">
        <f>(H27*E25)/2</f>
        <v>0</v>
      </c>
      <c r="J27" s="188">
        <f>IF(O25=0.48,($I$107-($I$96*E25))*AC27,IF(O25=0.72,($I$108-($I$97*E25))*AC27,IF(O25=0.95,($I$109-($I$98*E25))*AC27,IF(O25=1.2,($I$110-($I$99*E25))*AC27,IF(O25=1.4,($I$111-($I$100*E25))*AC27,IF(O25=1.75,($I$112-($I$101*E25))*AC27,IF(O25=0.36,($I$106-($I$95*E25))*AC27)))))))</f>
        <v>0</v>
      </c>
      <c r="K27" s="496"/>
      <c r="L27" s="493">
        <v>1</v>
      </c>
      <c r="M27" s="497"/>
      <c r="N27" s="189">
        <f>I27+J27</f>
        <v>0</v>
      </c>
      <c r="O27" s="498"/>
      <c r="P27" s="480"/>
      <c r="Q27" s="483">
        <f>IF(R25=H$74,0,IF(R25=H$75,0.2,IF(R25=H$76,0.3)))</f>
        <v>0</v>
      </c>
      <c r="R27" s="480"/>
      <c r="S27" s="487"/>
      <c r="T27" s="190">
        <f>IF(AC27=0,0,(N27+N25)-$H$78*K25-S25-AL27-AM27-AQ27-AR27)</f>
        <v>0</v>
      </c>
      <c r="U27" s="489"/>
      <c r="V27" s="277"/>
      <c r="W27" s="281"/>
      <c r="X27" s="175"/>
      <c r="Y27" s="48"/>
      <c r="Z27" s="48"/>
      <c r="AA27" s="48"/>
      <c r="AB27" s="176"/>
      <c r="AC27" s="49"/>
      <c r="AD27" s="177"/>
      <c r="AE27" s="177"/>
      <c r="AF27" s="177"/>
      <c r="AG27" s="178"/>
      <c r="AH27" s="178"/>
      <c r="AI27" s="177"/>
      <c r="AJ27" s="52"/>
      <c r="AK27" s="50"/>
      <c r="AL27" s="50"/>
      <c r="AM27" s="50"/>
      <c r="AN27" s="50"/>
      <c r="AO27" s="50"/>
      <c r="AP27" s="52"/>
      <c r="AQ27" s="50"/>
      <c r="AR27" s="52"/>
      <c r="AS27" s="50"/>
      <c r="AT27" s="52"/>
      <c r="AU27" s="177"/>
      <c r="AV27" s="177"/>
      <c r="AW27" s="177"/>
      <c r="AX27" s="179"/>
    </row>
    <row r="28" spans="1:50">
      <c r="A28" s="524"/>
      <c r="B28" s="491"/>
      <c r="C28" s="536"/>
      <c r="D28" s="537"/>
      <c r="E28" s="540"/>
      <c r="F28" s="485"/>
      <c r="G28" s="485"/>
      <c r="H28" s="191">
        <f>D25*AC28*2</f>
        <v>0</v>
      </c>
      <c r="I28" s="191">
        <f>(H28*E25)/2</f>
        <v>0</v>
      </c>
      <c r="J28" s="191">
        <f>IF(O$17=0.48,($I$107-($I$96*E$17))*AC28,IF(O$17=0.72,($I$108-($I$97*E$17))*AC28,IF(O$17=0.95,($I$109-($I$98*E$17))*AC28,IF(O$17=1.2,($I$110-($I$99*E$17))*AC28,IF(O$17=1.4,($I$111-($I$100*E$17))*AC28,IF(O$17=1.75,($I$112-($I$101*E$17))*AC28,IF(O$17=0.36,($I$106-($I$95*E$17))*AC28)))))))</f>
        <v>0</v>
      </c>
      <c r="K28" s="496"/>
      <c r="L28" s="494"/>
      <c r="M28" s="497"/>
      <c r="N28" s="189">
        <f>I28+J28</f>
        <v>0</v>
      </c>
      <c r="O28" s="498"/>
      <c r="P28" s="481"/>
      <c r="Q28" s="495"/>
      <c r="R28" s="485"/>
      <c r="S28" s="488"/>
      <c r="T28" s="192">
        <f>IF(AC28=0,0,(N28+N25)-$H$78*K25-S25-AL28-AM28-AQ28-AR28)</f>
        <v>0</v>
      </c>
      <c r="U28" s="489"/>
      <c r="V28" s="277"/>
      <c r="W28" s="281"/>
      <c r="X28" s="175"/>
      <c r="Y28" s="48"/>
      <c r="Z28" s="48"/>
      <c r="AA28" s="48"/>
      <c r="AB28" s="176"/>
      <c r="AC28" s="49"/>
      <c r="AD28" s="177"/>
      <c r="AE28" s="177"/>
      <c r="AF28" s="177"/>
      <c r="AG28" s="178"/>
      <c r="AH28" s="178"/>
      <c r="AI28" s="177"/>
      <c r="AJ28" s="52"/>
      <c r="AK28" s="50"/>
      <c r="AL28" s="50"/>
      <c r="AM28" s="50"/>
      <c r="AN28" s="50"/>
      <c r="AO28" s="50"/>
      <c r="AP28" s="52"/>
      <c r="AQ28" s="50"/>
      <c r="AR28" s="52"/>
      <c r="AS28" s="50"/>
      <c r="AT28" s="52"/>
      <c r="AU28" s="177"/>
      <c r="AV28" s="177"/>
      <c r="AW28" s="177"/>
      <c r="AX28" s="179"/>
    </row>
    <row r="29" spans="1:50">
      <c r="A29" s="522"/>
      <c r="B29" s="525"/>
      <c r="C29" s="526"/>
      <c r="D29" s="529">
        <v>2</v>
      </c>
      <c r="E29" s="530">
        <f>IF(O29=A$84,B$84,IF(O29=A$85,B$85,IF(O29=A$86,B$86,IF(O29=A$87,B$87,IF(O29=A$88,B$88,IF(O29=A$89,B$89,IF(O29=A$90,B$90,IF(O29=A$83,B$83))))))))</f>
        <v>0.8</v>
      </c>
      <c r="F29" s="515">
        <v>1.1000000000000001</v>
      </c>
      <c r="G29" s="515">
        <f>(F29+F31)/2</f>
        <v>1.2000000000000002</v>
      </c>
      <c r="H29" s="171">
        <f>D29*(AC29-AB29)*2</f>
        <v>0</v>
      </c>
      <c r="I29" s="172">
        <f>(H29*E29)/2</f>
        <v>0</v>
      </c>
      <c r="J29" s="173">
        <f>IF(O$13=0.48,($I$107-($I$96*E$13))*AC29,IF(O$13=0.72,($I$108-($I$97*E$13))*AC29,IF(O$13=0.95,($I$109-($I$98*E$13))*AC29,IF(O$13=1.2,($I$110-($I$99*E$13))*AC29,IF(O$13=1.4,($I$111-($I$100*E$13))*AC29,IF(O$13=1.75,($I$112-($I$101*E$13))*AC29,IF(O$13=0.36,($I$106-($I$95*E$13))*AC29)))))))</f>
        <v>0</v>
      </c>
      <c r="K29" s="516">
        <v>0</v>
      </c>
      <c r="L29" s="499" t="b">
        <f>IF(Y29="A",((L31*$D$120)+(($C$116-$D$75)*$K29)),IF(Y29="L",((L31*$D$120)+(($C$116-$D$76)*$K29)),IF(Y29="P",((L31*$D$120)+(($C$116-$D$77)*$K29)),IF(Y29="M",((L31*$D$120)+($C$116*$K29))))))</f>
        <v>0</v>
      </c>
      <c r="M29" s="517">
        <f>N29+N30+N31+N32</f>
        <v>0</v>
      </c>
      <c r="N29" s="47">
        <f>I29+J29+L29</f>
        <v>0</v>
      </c>
      <c r="O29" s="518">
        <v>0.36</v>
      </c>
      <c r="P29" s="519">
        <f>((O29/2)^2*3.1416)*D29</f>
        <v>0.20357567999999998</v>
      </c>
      <c r="Q29" s="499">
        <f>(E29*D29)*$Q31</f>
        <v>0</v>
      </c>
      <c r="R29" s="501" t="str">
        <f>IF(AND(G29&lt;=1.5,O29&lt;0.72),"Solo",IF(AND(G29&lt;=4&gt;1.5,O29&lt;=0.72),"Brita",IF(AND(G29&lt;6&gt;4,O29&gt;=0.72),"Rach/Brita")))</f>
        <v>Solo</v>
      </c>
      <c r="S29" s="504">
        <f>(D29*E29+K29*$B$116)*0.3</f>
        <v>0.48</v>
      </c>
      <c r="T29" s="174">
        <f>IF(AC29=0,0,N29-$H$78*K29-S29-AL29-AM29-AQ29-AR29)</f>
        <v>0</v>
      </c>
      <c r="U29" s="507">
        <f>M29-S29</f>
        <v>-0.48</v>
      </c>
      <c r="V29" s="277"/>
      <c r="W29" s="281"/>
      <c r="X29" s="175"/>
      <c r="Y29" s="48"/>
      <c r="Z29" s="48"/>
      <c r="AA29" s="48"/>
      <c r="AB29" s="176"/>
      <c r="AC29" s="49"/>
      <c r="AD29" s="177"/>
      <c r="AE29" s="177"/>
      <c r="AF29" s="177"/>
      <c r="AG29" s="178"/>
      <c r="AH29" s="178"/>
      <c r="AI29" s="177"/>
      <c r="AJ29" s="52"/>
      <c r="AK29" s="50"/>
      <c r="AL29" s="50"/>
      <c r="AM29" s="50"/>
      <c r="AN29" s="50"/>
      <c r="AO29" s="50"/>
      <c r="AP29" s="52"/>
      <c r="AQ29" s="50"/>
      <c r="AR29" s="52"/>
      <c r="AS29" s="50"/>
      <c r="AT29" s="52"/>
      <c r="AU29" s="177"/>
      <c r="AV29" s="177"/>
      <c r="AW29" s="177"/>
      <c r="AX29" s="179"/>
    </row>
    <row r="30" spans="1:50">
      <c r="A30" s="523"/>
      <c r="B30" s="508"/>
      <c r="C30" s="527"/>
      <c r="D30" s="529"/>
      <c r="E30" s="531"/>
      <c r="F30" s="510"/>
      <c r="G30" s="510"/>
      <c r="H30" s="171">
        <f>D29*AC30*2</f>
        <v>0</v>
      </c>
      <c r="I30" s="171">
        <f>(H30*E29)/2</f>
        <v>0</v>
      </c>
      <c r="J30" s="171">
        <f>IF(O29=0.48,($I$107-($I$96*E29))*AC30,IF(O29=0.72,($I$108-($I$97*E29))*AC30,IF(O29=0.95,($I$109-($I$98*E29))*AC30,IF(O29=1.2,($I$110-($I$99*E29))*AC30,IF(O29=1.4,($I$111-($I$100*E29))*AC30,IF(O29=1.75,($I$112-($I$101*E29))*AC30,IF(O29=0.36,($I$106-($I$95*E29))*AC30)))))))</f>
        <v>0</v>
      </c>
      <c r="K30" s="516"/>
      <c r="L30" s="500"/>
      <c r="M30" s="517"/>
      <c r="N30" s="54">
        <f>I30+J30</f>
        <v>0</v>
      </c>
      <c r="O30" s="518"/>
      <c r="P30" s="520"/>
      <c r="Q30" s="500"/>
      <c r="R30" s="502"/>
      <c r="S30" s="505"/>
      <c r="T30" s="180">
        <f>IF(AC30=0,0,(N30+N29)-$H$78*K29-S29-AL30-AM30-AQ30-AR30)</f>
        <v>0</v>
      </c>
      <c r="U30" s="507"/>
      <c r="V30" s="277"/>
      <c r="W30" s="281"/>
      <c r="X30" s="175"/>
      <c r="Y30" s="48"/>
      <c r="Z30" s="48"/>
      <c r="AA30" s="48"/>
      <c r="AB30" s="176"/>
      <c r="AC30" s="49"/>
      <c r="AD30" s="177"/>
      <c r="AE30" s="177"/>
      <c r="AF30" s="177"/>
      <c r="AG30" s="178"/>
      <c r="AH30" s="178"/>
      <c r="AI30" s="177"/>
      <c r="AJ30" s="52"/>
      <c r="AK30" s="50"/>
      <c r="AL30" s="50"/>
      <c r="AM30" s="50"/>
      <c r="AN30" s="50"/>
      <c r="AO30" s="50"/>
      <c r="AP30" s="52"/>
      <c r="AQ30" s="50"/>
      <c r="AR30" s="52"/>
      <c r="AS30" s="50"/>
      <c r="AT30" s="52"/>
      <c r="AU30" s="177"/>
      <c r="AV30" s="177"/>
      <c r="AW30" s="177"/>
      <c r="AX30" s="179"/>
    </row>
    <row r="31" spans="1:50">
      <c r="A31" s="523"/>
      <c r="B31" s="508"/>
      <c r="C31" s="527"/>
      <c r="D31" s="529"/>
      <c r="E31" s="531"/>
      <c r="F31" s="510">
        <v>1.3</v>
      </c>
      <c r="G31" s="510">
        <f>(G29+Q31)</f>
        <v>1.2000000000000002</v>
      </c>
      <c r="H31" s="171">
        <f>D29*AC31*2</f>
        <v>0</v>
      </c>
      <c r="I31" s="171">
        <f>(H31*E29)/2</f>
        <v>0</v>
      </c>
      <c r="J31" s="171">
        <f>IF(O29=0.48,($I$107-($I$96*E29))*AC31,IF(O29=0.72,($I$108-($I$97*E29))*AC31,IF(O29=0.95,($I$109-($I$98*E29))*AC31,IF(O29=1.2,($I$110-($I$99*E29))*AC31,IF(O29=1.4,($I$111-($I$100*E29))*AC31,IF(O29=1.75,($I$112-($I$101*E29))*AC31,IF(O29=0.36,($I$106-($I$95*E29))*AC31)))))))</f>
        <v>0</v>
      </c>
      <c r="K31" s="516"/>
      <c r="L31" s="512">
        <v>1</v>
      </c>
      <c r="M31" s="517"/>
      <c r="N31" s="54">
        <f>I31+J31</f>
        <v>0</v>
      </c>
      <c r="O31" s="518"/>
      <c r="P31" s="520"/>
      <c r="Q31" s="500">
        <f>IF(R29=H$74,0,IF(R29=H$75,0.2,IF(R29=H$76,0.3)))</f>
        <v>0</v>
      </c>
      <c r="R31" s="502"/>
      <c r="S31" s="505"/>
      <c r="T31" s="180">
        <f>IF(AC31=0,0,(N31+N29)-$H$78*K29-S29-AL31-AM31-AQ31-AR31)</f>
        <v>0</v>
      </c>
      <c r="U31" s="507"/>
      <c r="V31" s="277"/>
      <c r="W31" s="281"/>
      <c r="X31" s="175"/>
      <c r="Y31" s="48"/>
      <c r="Z31" s="48"/>
      <c r="AA31" s="48"/>
      <c r="AB31" s="176"/>
      <c r="AC31" s="49"/>
      <c r="AD31" s="177"/>
      <c r="AE31" s="177"/>
      <c r="AF31" s="177"/>
      <c r="AG31" s="178"/>
      <c r="AH31" s="178"/>
      <c r="AI31" s="177"/>
      <c r="AJ31" s="52"/>
      <c r="AK31" s="50"/>
      <c r="AL31" s="50"/>
      <c r="AM31" s="50"/>
      <c r="AN31" s="50"/>
      <c r="AO31" s="50"/>
      <c r="AP31" s="52"/>
      <c r="AQ31" s="50"/>
      <c r="AR31" s="52"/>
      <c r="AS31" s="50"/>
      <c r="AT31" s="52"/>
      <c r="AU31" s="177"/>
      <c r="AV31" s="177"/>
      <c r="AW31" s="177"/>
      <c r="AX31" s="179"/>
    </row>
    <row r="32" spans="1:50">
      <c r="A32" s="523"/>
      <c r="B32" s="509"/>
      <c r="C32" s="528"/>
      <c r="D32" s="529"/>
      <c r="E32" s="532"/>
      <c r="F32" s="511"/>
      <c r="G32" s="511"/>
      <c r="H32" s="182">
        <f>D29*AC32*2</f>
        <v>0</v>
      </c>
      <c r="I32" s="171">
        <f>(H32*E29)/2</f>
        <v>0</v>
      </c>
      <c r="J32" s="182">
        <f>IF(O$13=0.48,($I$107-($I$96*E$13))*AC32,IF(O$13=0.72,($I$108-($I$97*E$13))*AC32,IF(O$13=0.95,($I$109-($I$98*E$13))*AC32,IF(O$13=1.2,($I$110-($I$99*E$13))*AC32,IF(O$13=1.4,($I$111-($I$100*E$13))*AC32,IF(O$13=1.75,($I$112-($I$101*E$13))*AC32,IF(O$13=0.36,($I$106-($I$95*E$13))*AC32)))))))</f>
        <v>0</v>
      </c>
      <c r="K32" s="516"/>
      <c r="L32" s="513"/>
      <c r="M32" s="517"/>
      <c r="N32" s="54">
        <f>I32+J32</f>
        <v>0</v>
      </c>
      <c r="O32" s="518"/>
      <c r="P32" s="521"/>
      <c r="Q32" s="514"/>
      <c r="R32" s="503"/>
      <c r="S32" s="506"/>
      <c r="T32" s="183">
        <f>IF(AC32=0,0,(N32+N29)-$H$78*K29-S29-AL32-AM32-AQ32-AR32)</f>
        <v>0</v>
      </c>
      <c r="U32" s="507"/>
      <c r="V32" s="277"/>
      <c r="W32" s="281"/>
      <c r="X32" s="175"/>
      <c r="Y32" s="48"/>
      <c r="Z32" s="48"/>
      <c r="AA32" s="48"/>
      <c r="AB32" s="176"/>
      <c r="AC32" s="49"/>
      <c r="AD32" s="177"/>
      <c r="AE32" s="177"/>
      <c r="AF32" s="177"/>
      <c r="AG32" s="178"/>
      <c r="AH32" s="178"/>
      <c r="AI32" s="177"/>
      <c r="AJ32" s="52"/>
      <c r="AK32" s="50"/>
      <c r="AL32" s="50"/>
      <c r="AM32" s="50"/>
      <c r="AN32" s="50"/>
      <c r="AO32" s="50"/>
      <c r="AP32" s="52"/>
      <c r="AQ32" s="50"/>
      <c r="AR32" s="52"/>
      <c r="AS32" s="50"/>
      <c r="AT32" s="52"/>
      <c r="AU32" s="177"/>
      <c r="AV32" s="177"/>
      <c r="AW32" s="177"/>
      <c r="AX32" s="179"/>
    </row>
    <row r="33" spans="1:50">
      <c r="A33" s="523"/>
      <c r="B33" s="533"/>
      <c r="C33" s="534"/>
      <c r="D33" s="537">
        <v>13</v>
      </c>
      <c r="E33" s="538">
        <f>IF(O33=A$84,B$84,IF(O33=A$85,B$85,IF(O33=A$86,B$86,IF(O33=A$87,B$87,IF(O33=A$88,B$88,IF(O33=A$89,B$89,IF(O33=A$90,B$90,IF(O33=A$83,B$83))))))))</f>
        <v>0.8</v>
      </c>
      <c r="F33" s="484">
        <v>1.1000000000000001</v>
      </c>
      <c r="G33" s="484">
        <f>(F33+F35)/2</f>
        <v>1.2000000000000002</v>
      </c>
      <c r="H33" s="184">
        <f>D33*(AC33-AB33)*2</f>
        <v>0</v>
      </c>
      <c r="I33" s="185">
        <f>(H33*E33)/2</f>
        <v>0</v>
      </c>
      <c r="J33" s="184">
        <f>IF(O$17=0.48,($I$107-($I$96*E$17))*AC33,IF(O$17=0.72,($I$108-($I$97*E$17))*AC33,IF(O$17=0.95,($I$109-($I$98*E$17))*AC33,IF(O$17=1.2,($I$110-($I$99*E$17))*AC33,IF(O$17=1.4,($I$111-($I$100*E$17))*AC33,IF(O$17=1.75,($I$112-($I$101*E$17))*AC33,IF(O$17=0.36,($I$106-($I$95*E$17))*AC33)))))))</f>
        <v>0</v>
      </c>
      <c r="K33" s="496">
        <v>0</v>
      </c>
      <c r="L33" s="482" t="b">
        <f>IF(Y33="A",((L35*$D$120)+(($C$116-$D$75)*$K33)),IF(Y33="L",((L35*$D$120)+(($C$116-$D$76)*$K33)),IF(Y33="P",((L35*$D$120)+(($C$116-$D$77)*$K33)),IF(Y33="M",((L35*$D$120)+($C$116*$K33))))))</f>
        <v>0</v>
      </c>
      <c r="M33" s="497">
        <f>N33+N34+N35+N36</f>
        <v>0</v>
      </c>
      <c r="N33" s="186">
        <f>I33+J33+L33</f>
        <v>0</v>
      </c>
      <c r="O33" s="498">
        <v>0.36</v>
      </c>
      <c r="P33" s="479">
        <f>((O33/2)^2*3.1416)*D33</f>
        <v>1.3232419199999998</v>
      </c>
      <c r="Q33" s="482">
        <f>(E33*D33)*$Q35</f>
        <v>0</v>
      </c>
      <c r="R33" s="484" t="str">
        <f>IF(AND(G33&lt;=1.5,O33&lt;0.72),"Solo",IF(AND(G33&lt;=4&gt;1.5,O33&lt;=0.72),"Brita",IF(AND(G33&lt;6&gt;4,O33&gt;=0.72),"Rach/Brita")))</f>
        <v>Solo</v>
      </c>
      <c r="S33" s="486">
        <f>(D33*E33+K33*$B$116)*0.3</f>
        <v>3.12</v>
      </c>
      <c r="T33" s="187">
        <f>IF(AC33=0,0,N33-$H$78*K33-S33-AL33-AM33-AQ33-AR33)</f>
        <v>0</v>
      </c>
      <c r="U33" s="489">
        <f>M33-S33</f>
        <v>-3.12</v>
      </c>
      <c r="V33" s="277"/>
      <c r="W33" s="281"/>
      <c r="X33" s="175"/>
      <c r="Y33" s="48"/>
      <c r="Z33" s="48"/>
      <c r="AA33" s="48"/>
      <c r="AB33" s="176"/>
      <c r="AC33" s="49"/>
      <c r="AD33" s="177"/>
      <c r="AE33" s="177"/>
      <c r="AF33" s="177"/>
      <c r="AG33" s="178"/>
      <c r="AH33" s="178"/>
      <c r="AI33" s="177"/>
      <c r="AJ33" s="52"/>
      <c r="AK33" s="50"/>
      <c r="AL33" s="50"/>
      <c r="AM33" s="50"/>
      <c r="AN33" s="50"/>
      <c r="AO33" s="50"/>
      <c r="AP33" s="52"/>
      <c r="AQ33" s="50"/>
      <c r="AR33" s="52"/>
      <c r="AS33" s="50"/>
      <c r="AT33" s="52"/>
      <c r="AU33" s="177"/>
      <c r="AV33" s="177"/>
      <c r="AW33" s="177"/>
      <c r="AX33" s="179"/>
    </row>
    <row r="34" spans="1:50">
      <c r="A34" s="523"/>
      <c r="B34" s="490"/>
      <c r="C34" s="535"/>
      <c r="D34" s="537"/>
      <c r="E34" s="539"/>
      <c r="F34" s="492"/>
      <c r="G34" s="492"/>
      <c r="H34" s="188">
        <f>D33*AC34*2</f>
        <v>0</v>
      </c>
      <c r="I34" s="188">
        <f>(H34*E33)/2</f>
        <v>0</v>
      </c>
      <c r="J34" s="188">
        <f>IF(O33=0.48,($I$107-($I$96*E33))*AC34,IF(O33=0.72,($I$108-($I$97*E33))*AC34,IF(O33=0.95,($I$109-($I$98*E33))*AC34,IF(O33=1.2,($I$110-($I$99*E33))*AC34,IF(O33=1.4,($I$111-($I$100*E33))*AC34,IF(O33=1.75,($I$112-($I$101*E33))*AC34,IF(O33=0.36,($I$106-($I$95*E33))*AC34)))))))</f>
        <v>0</v>
      </c>
      <c r="K34" s="496"/>
      <c r="L34" s="483"/>
      <c r="M34" s="497"/>
      <c r="N34" s="189">
        <f>I34+J34</f>
        <v>0</v>
      </c>
      <c r="O34" s="498"/>
      <c r="P34" s="480"/>
      <c r="Q34" s="483"/>
      <c r="R34" s="480"/>
      <c r="S34" s="487"/>
      <c r="T34" s="190">
        <f>IF(AC34=0,0,(N34+N33)-$H$78*K33-S33-AL34-AM34-AQ34-AR34)</f>
        <v>0</v>
      </c>
      <c r="U34" s="489"/>
      <c r="V34" s="277"/>
      <c r="W34" s="281"/>
      <c r="X34" s="175"/>
      <c r="Y34" s="48"/>
      <c r="Z34" s="48"/>
      <c r="AA34" s="48"/>
      <c r="AB34" s="176"/>
      <c r="AC34" s="49"/>
      <c r="AD34" s="177"/>
      <c r="AE34" s="177"/>
      <c r="AF34" s="177"/>
      <c r="AG34" s="178"/>
      <c r="AH34" s="178"/>
      <c r="AI34" s="177"/>
      <c r="AJ34" s="52"/>
      <c r="AK34" s="50"/>
      <c r="AL34" s="50"/>
      <c r="AM34" s="50"/>
      <c r="AN34" s="50"/>
      <c r="AO34" s="50"/>
      <c r="AP34" s="52"/>
      <c r="AQ34" s="50"/>
      <c r="AR34" s="52"/>
      <c r="AS34" s="50"/>
      <c r="AT34" s="52"/>
      <c r="AU34" s="177"/>
      <c r="AV34" s="177"/>
      <c r="AW34" s="177"/>
      <c r="AX34" s="179"/>
    </row>
    <row r="35" spans="1:50">
      <c r="A35" s="523"/>
      <c r="B35" s="490"/>
      <c r="C35" s="535"/>
      <c r="D35" s="537"/>
      <c r="E35" s="539"/>
      <c r="F35" s="492">
        <v>1.3</v>
      </c>
      <c r="G35" s="492">
        <f>(G33+Q35)</f>
        <v>1.2000000000000002</v>
      </c>
      <c r="H35" s="188">
        <f>D33*AC35*2</f>
        <v>0</v>
      </c>
      <c r="I35" s="188">
        <f>(H35*E33)/2</f>
        <v>0</v>
      </c>
      <c r="J35" s="188">
        <f>IF(O33=0.48,($I$107-($I$96*E33))*AC35,IF(O33=0.72,($I$108-($I$97*E33))*AC35,IF(O33=0.95,($I$109-($I$98*E33))*AC35,IF(O33=1.2,($I$110-($I$99*E33))*AC35,IF(O33=1.4,($I$111-($I$100*E33))*AC35,IF(O33=1.75,($I$112-($I$101*E33))*AC35,IF(O33=0.36,($I$106-($I$95*E33))*AC35)))))))</f>
        <v>0</v>
      </c>
      <c r="K35" s="496"/>
      <c r="L35" s="493">
        <v>1</v>
      </c>
      <c r="M35" s="497"/>
      <c r="N35" s="189">
        <f>I35+J35</f>
        <v>0</v>
      </c>
      <c r="O35" s="498"/>
      <c r="P35" s="480"/>
      <c r="Q35" s="483">
        <f>IF(R33=H$74,0,IF(R33=H$75,0.2,IF(R33=H$76,0.3)))</f>
        <v>0</v>
      </c>
      <c r="R35" s="480"/>
      <c r="S35" s="487"/>
      <c r="T35" s="190">
        <f>IF(AC35=0,0,(N35+N33)-$H$78*K33-S33-AL35-AM35-AQ35-AR35)</f>
        <v>0</v>
      </c>
      <c r="U35" s="489"/>
      <c r="V35" s="277"/>
      <c r="W35" s="281"/>
      <c r="X35" s="175"/>
      <c r="Y35" s="48"/>
      <c r="Z35" s="48"/>
      <c r="AA35" s="48"/>
      <c r="AB35" s="176"/>
      <c r="AC35" s="49"/>
      <c r="AD35" s="177"/>
      <c r="AE35" s="177"/>
      <c r="AF35" s="177"/>
      <c r="AG35" s="178"/>
      <c r="AH35" s="178"/>
      <c r="AI35" s="177"/>
      <c r="AJ35" s="52"/>
      <c r="AK35" s="50"/>
      <c r="AL35" s="50"/>
      <c r="AM35" s="50"/>
      <c r="AN35" s="50"/>
      <c r="AO35" s="50"/>
      <c r="AP35" s="52"/>
      <c r="AQ35" s="50"/>
      <c r="AR35" s="52"/>
      <c r="AS35" s="50"/>
      <c r="AT35" s="52"/>
      <c r="AU35" s="177"/>
      <c r="AV35" s="177"/>
      <c r="AW35" s="177"/>
      <c r="AX35" s="179"/>
    </row>
    <row r="36" spans="1:50">
      <c r="A36" s="524"/>
      <c r="B36" s="491"/>
      <c r="C36" s="536"/>
      <c r="D36" s="537"/>
      <c r="E36" s="540"/>
      <c r="F36" s="485"/>
      <c r="G36" s="485"/>
      <c r="H36" s="191">
        <f>D33*AC36*2</f>
        <v>0</v>
      </c>
      <c r="I36" s="191">
        <f>(H36*E33)/2</f>
        <v>0</v>
      </c>
      <c r="J36" s="191">
        <f>IF(O$17=0.48,($I$107-($I$96*E$17))*AC36,IF(O$17=0.72,($I$108-($I$97*E$17))*AC36,IF(O$17=0.95,($I$109-($I$98*E$17))*AC36,IF(O$17=1.2,($I$110-($I$99*E$17))*AC36,IF(O$17=1.4,($I$111-($I$100*E$17))*AC36,IF(O$17=1.75,($I$112-($I$101*E$17))*AC36,IF(O$17=0.36,($I$106-($I$95*E$17))*AC36)))))))</f>
        <v>0</v>
      </c>
      <c r="K36" s="496"/>
      <c r="L36" s="494"/>
      <c r="M36" s="497"/>
      <c r="N36" s="189">
        <f>I36+J36</f>
        <v>0</v>
      </c>
      <c r="O36" s="498"/>
      <c r="P36" s="481"/>
      <c r="Q36" s="495"/>
      <c r="R36" s="485"/>
      <c r="S36" s="488"/>
      <c r="T36" s="192">
        <f>IF(AC36=0,0,(N36+N33)-$H$78*K33-S33-AL36-AM36-AQ36-AR36)</f>
        <v>0</v>
      </c>
      <c r="U36" s="489"/>
      <c r="V36" s="277"/>
      <c r="W36" s="281"/>
      <c r="X36" s="175"/>
      <c r="Y36" s="48"/>
      <c r="Z36" s="48"/>
      <c r="AA36" s="48"/>
      <c r="AB36" s="176"/>
      <c r="AC36" s="49"/>
      <c r="AD36" s="177"/>
      <c r="AE36" s="177"/>
      <c r="AF36" s="177"/>
      <c r="AG36" s="178"/>
      <c r="AH36" s="178"/>
      <c r="AI36" s="177"/>
      <c r="AJ36" s="52"/>
      <c r="AK36" s="50"/>
      <c r="AL36" s="50"/>
      <c r="AM36" s="50"/>
      <c r="AN36" s="50"/>
      <c r="AO36" s="50"/>
      <c r="AP36" s="52"/>
      <c r="AQ36" s="50"/>
      <c r="AR36" s="52"/>
      <c r="AS36" s="50"/>
      <c r="AT36" s="52"/>
      <c r="AU36" s="177"/>
      <c r="AV36" s="177"/>
      <c r="AW36" s="177"/>
      <c r="AX36" s="179"/>
    </row>
    <row r="37" spans="1:50">
      <c r="A37" s="266"/>
      <c r="B37" s="267"/>
      <c r="C37" s="268"/>
      <c r="D37" s="269"/>
      <c r="E37" s="270"/>
      <c r="F37" s="271"/>
      <c r="G37" s="271"/>
      <c r="H37" s="272"/>
      <c r="I37" s="272"/>
      <c r="J37" s="272"/>
      <c r="K37" s="273"/>
      <c r="L37" s="274"/>
      <c r="M37" s="275"/>
      <c r="N37" s="276"/>
      <c r="O37" s="271"/>
      <c r="P37" s="277"/>
      <c r="Q37" s="278"/>
      <c r="R37" s="279"/>
      <c r="S37" s="278"/>
      <c r="T37" s="278"/>
      <c r="U37" s="280"/>
      <c r="V37" s="277"/>
      <c r="W37" s="281"/>
      <c r="X37" s="175"/>
      <c r="Y37" s="48"/>
      <c r="Z37" s="48"/>
      <c r="AA37" s="48"/>
      <c r="AB37" s="176"/>
      <c r="AC37" s="49"/>
      <c r="AD37" s="177"/>
      <c r="AE37" s="177"/>
      <c r="AF37" s="177"/>
      <c r="AG37" s="178"/>
      <c r="AH37" s="178"/>
      <c r="AI37" s="177"/>
      <c r="AJ37" s="52"/>
      <c r="AK37" s="50"/>
      <c r="AL37" s="50"/>
      <c r="AM37" s="50"/>
      <c r="AN37" s="50"/>
      <c r="AO37" s="50"/>
      <c r="AP37" s="52"/>
      <c r="AQ37" s="50"/>
      <c r="AR37" s="52"/>
      <c r="AS37" s="50"/>
      <c r="AT37" s="52"/>
      <c r="AU37" s="177"/>
      <c r="AV37" s="177"/>
      <c r="AW37" s="177"/>
      <c r="AX37" s="179"/>
    </row>
    <row r="38" spans="1:50">
      <c r="A38" s="266"/>
      <c r="B38" s="267"/>
      <c r="C38" s="268"/>
      <c r="D38" s="269"/>
      <c r="E38" s="270"/>
      <c r="F38" s="271"/>
      <c r="G38" s="271"/>
      <c r="H38" s="272"/>
      <c r="I38" s="272"/>
      <c r="J38" s="272"/>
      <c r="K38" s="273"/>
      <c r="L38" s="274"/>
      <c r="M38" s="275"/>
      <c r="N38" s="276"/>
      <c r="O38" s="271"/>
      <c r="P38" s="277"/>
      <c r="Q38" s="278"/>
      <c r="R38" s="279"/>
      <c r="S38" s="278"/>
      <c r="T38" s="278"/>
      <c r="U38" s="280"/>
      <c r="V38" s="277"/>
      <c r="W38" s="281"/>
      <c r="X38" s="175"/>
      <c r="Y38" s="48"/>
      <c r="Z38" s="48"/>
      <c r="AA38" s="48"/>
      <c r="AB38" s="176"/>
      <c r="AC38" s="49"/>
      <c r="AD38" s="177"/>
      <c r="AE38" s="177"/>
      <c r="AF38" s="177"/>
      <c r="AG38" s="178"/>
      <c r="AH38" s="178"/>
      <c r="AI38" s="177"/>
      <c r="AJ38" s="52"/>
      <c r="AK38" s="50"/>
      <c r="AL38" s="50"/>
      <c r="AM38" s="50"/>
      <c r="AN38" s="50"/>
      <c r="AO38" s="50"/>
      <c r="AP38" s="52"/>
      <c r="AQ38" s="50"/>
      <c r="AR38" s="52"/>
      <c r="AS38" s="50"/>
      <c r="AT38" s="52"/>
      <c r="AU38" s="177"/>
      <c r="AV38" s="177"/>
      <c r="AW38" s="177"/>
      <c r="AX38" s="179"/>
    </row>
    <row r="39" spans="1:50">
      <c r="A39" s="266"/>
      <c r="B39" s="267"/>
      <c r="C39" s="268"/>
      <c r="D39" s="269"/>
      <c r="E39" s="270"/>
      <c r="F39" s="271"/>
      <c r="G39" s="271"/>
      <c r="H39" s="272"/>
      <c r="I39" s="272"/>
      <c r="J39" s="272"/>
      <c r="K39" s="273"/>
      <c r="L39" s="274"/>
      <c r="M39" s="275"/>
      <c r="N39" s="276"/>
      <c r="O39" s="271"/>
      <c r="P39" s="277"/>
      <c r="Q39" s="278"/>
      <c r="R39" s="279"/>
      <c r="S39" s="278"/>
      <c r="T39" s="278"/>
      <c r="U39" s="280"/>
      <c r="V39" s="277"/>
      <c r="W39" s="281"/>
      <c r="X39" s="175"/>
      <c r="Y39" s="48"/>
      <c r="Z39" s="48"/>
      <c r="AA39" s="48"/>
      <c r="AB39" s="176"/>
      <c r="AC39" s="49"/>
      <c r="AD39" s="177"/>
      <c r="AE39" s="177"/>
      <c r="AF39" s="177"/>
      <c r="AG39" s="178"/>
      <c r="AH39" s="178"/>
      <c r="AI39" s="177"/>
      <c r="AJ39" s="52"/>
      <c r="AK39" s="50"/>
      <c r="AL39" s="50"/>
      <c r="AM39" s="50"/>
      <c r="AN39" s="50"/>
      <c r="AO39" s="50"/>
      <c r="AP39" s="52"/>
      <c r="AQ39" s="50"/>
      <c r="AR39" s="52"/>
      <c r="AS39" s="50"/>
      <c r="AT39" s="52"/>
      <c r="AU39" s="177"/>
      <c r="AV39" s="177"/>
      <c r="AW39" s="177"/>
      <c r="AX39" s="179"/>
    </row>
    <row r="40" spans="1:50">
      <c r="A40" s="266"/>
      <c r="B40" s="267"/>
      <c r="C40" s="268"/>
      <c r="D40" s="269"/>
      <c r="E40" s="270"/>
      <c r="F40" s="271"/>
      <c r="G40" s="271"/>
      <c r="H40" s="272"/>
      <c r="I40" s="272"/>
      <c r="J40" s="272"/>
      <c r="K40" s="273"/>
      <c r="L40" s="274"/>
      <c r="M40" s="275"/>
      <c r="N40" s="276"/>
      <c r="O40" s="271"/>
      <c r="P40" s="277"/>
      <c r="Q40" s="278"/>
      <c r="R40" s="279"/>
      <c r="S40" s="278"/>
      <c r="T40" s="278"/>
      <c r="U40" s="280"/>
      <c r="V40" s="277"/>
      <c r="W40" s="281"/>
      <c r="X40" s="175"/>
      <c r="Y40" s="48"/>
      <c r="Z40" s="48"/>
      <c r="AA40" s="48"/>
      <c r="AB40" s="176"/>
      <c r="AC40" s="49"/>
      <c r="AD40" s="177"/>
      <c r="AE40" s="177"/>
      <c r="AF40" s="177"/>
      <c r="AG40" s="178"/>
      <c r="AH40" s="178"/>
      <c r="AI40" s="177"/>
      <c r="AJ40" s="52"/>
      <c r="AK40" s="50"/>
      <c r="AL40" s="50"/>
      <c r="AM40" s="50"/>
      <c r="AN40" s="50"/>
      <c r="AO40" s="50"/>
      <c r="AP40" s="52"/>
      <c r="AQ40" s="50"/>
      <c r="AR40" s="52"/>
      <c r="AS40" s="50"/>
      <c r="AT40" s="52"/>
      <c r="AU40" s="177"/>
      <c r="AV40" s="177"/>
      <c r="AW40" s="177"/>
      <c r="AX40" s="179"/>
    </row>
    <row r="41" spans="1:50">
      <c r="A41" s="266"/>
      <c r="B41" s="267"/>
      <c r="C41" s="268"/>
      <c r="D41" s="269"/>
      <c r="E41" s="270"/>
      <c r="F41" s="271"/>
      <c r="G41" s="271"/>
      <c r="H41" s="272"/>
      <c r="I41" s="272"/>
      <c r="J41" s="272"/>
      <c r="K41" s="273"/>
      <c r="L41" s="274"/>
      <c r="M41" s="275"/>
      <c r="N41" s="276"/>
      <c r="O41" s="271"/>
      <c r="P41" s="277"/>
      <c r="Q41" s="278"/>
      <c r="R41" s="279"/>
      <c r="S41" s="278"/>
      <c r="T41" s="278"/>
      <c r="U41" s="280"/>
      <c r="V41" s="277"/>
      <c r="W41" s="281"/>
      <c r="X41" s="175"/>
      <c r="Y41" s="48"/>
      <c r="Z41" s="48"/>
      <c r="AA41" s="48"/>
      <c r="AB41" s="176"/>
      <c r="AC41" s="49"/>
      <c r="AD41" s="177"/>
      <c r="AE41" s="177"/>
      <c r="AF41" s="177"/>
      <c r="AG41" s="178"/>
      <c r="AH41" s="178"/>
      <c r="AI41" s="177"/>
      <c r="AJ41" s="52"/>
      <c r="AK41" s="50"/>
      <c r="AL41" s="50"/>
      <c r="AM41" s="50"/>
      <c r="AN41" s="50"/>
      <c r="AO41" s="50"/>
      <c r="AP41" s="52"/>
      <c r="AQ41" s="50"/>
      <c r="AR41" s="52"/>
      <c r="AS41" s="50"/>
      <c r="AT41" s="52"/>
      <c r="AU41" s="177"/>
      <c r="AV41" s="177"/>
      <c r="AW41" s="177"/>
      <c r="AX41" s="179"/>
    </row>
    <row r="42" spans="1:50">
      <c r="A42" s="266"/>
      <c r="B42" s="267"/>
      <c r="C42" s="268"/>
      <c r="D42" s="269"/>
      <c r="E42" s="270"/>
      <c r="F42" s="271"/>
      <c r="G42" s="271"/>
      <c r="H42" s="272"/>
      <c r="I42" s="272"/>
      <c r="J42" s="272"/>
      <c r="K42" s="273"/>
      <c r="L42" s="274"/>
      <c r="M42" s="275"/>
      <c r="N42" s="276"/>
      <c r="O42" s="271"/>
      <c r="P42" s="277"/>
      <c r="Q42" s="278"/>
      <c r="R42" s="279"/>
      <c r="S42" s="278"/>
      <c r="T42" s="278"/>
      <c r="U42" s="280"/>
      <c r="V42" s="277"/>
      <c r="W42" s="281"/>
      <c r="X42" s="175"/>
      <c r="Y42" s="48"/>
      <c r="Z42" s="48"/>
      <c r="AA42" s="48"/>
      <c r="AB42" s="176"/>
      <c r="AC42" s="49"/>
      <c r="AD42" s="177"/>
      <c r="AE42" s="177"/>
      <c r="AF42" s="177"/>
      <c r="AG42" s="178"/>
      <c r="AH42" s="178"/>
      <c r="AI42" s="177"/>
      <c r="AJ42" s="52"/>
      <c r="AK42" s="50"/>
      <c r="AL42" s="50"/>
      <c r="AM42" s="50"/>
      <c r="AN42" s="50"/>
      <c r="AO42" s="50"/>
      <c r="AP42" s="52"/>
      <c r="AQ42" s="50"/>
      <c r="AR42" s="52"/>
      <c r="AS42" s="50"/>
      <c r="AT42" s="52"/>
      <c r="AU42" s="177"/>
      <c r="AV42" s="177"/>
      <c r="AW42" s="177"/>
      <c r="AX42" s="179"/>
    </row>
    <row r="43" spans="1:50">
      <c r="A43" s="266"/>
      <c r="B43" s="267"/>
      <c r="C43" s="268"/>
      <c r="D43" s="269"/>
      <c r="E43" s="270"/>
      <c r="F43" s="271"/>
      <c r="G43" s="271"/>
      <c r="H43" s="272"/>
      <c r="I43" s="272"/>
      <c r="J43" s="272"/>
      <c r="K43" s="273"/>
      <c r="L43" s="274"/>
      <c r="M43" s="275"/>
      <c r="N43" s="276"/>
      <c r="O43" s="271"/>
      <c r="P43" s="277"/>
      <c r="Q43" s="278"/>
      <c r="R43" s="279"/>
      <c r="S43" s="278"/>
      <c r="T43" s="278"/>
      <c r="U43" s="280"/>
      <c r="V43" s="277"/>
      <c r="W43" s="281"/>
      <c r="X43" s="175"/>
      <c r="Y43" s="48"/>
      <c r="Z43" s="48"/>
      <c r="AA43" s="48"/>
      <c r="AB43" s="176"/>
      <c r="AC43" s="49"/>
      <c r="AD43" s="177"/>
      <c r="AE43" s="177"/>
      <c r="AF43" s="177"/>
      <c r="AG43" s="178"/>
      <c r="AH43" s="178"/>
      <c r="AI43" s="177"/>
      <c r="AJ43" s="52"/>
      <c r="AK43" s="50"/>
      <c r="AL43" s="50"/>
      <c r="AM43" s="50"/>
      <c r="AN43" s="50"/>
      <c r="AO43" s="50"/>
      <c r="AP43" s="52"/>
      <c r="AQ43" s="50"/>
      <c r="AR43" s="52"/>
      <c r="AS43" s="50"/>
      <c r="AT43" s="52"/>
      <c r="AU43" s="177"/>
      <c r="AV43" s="177"/>
      <c r="AW43" s="177"/>
      <c r="AX43" s="179"/>
    </row>
    <row r="44" spans="1:50">
      <c r="A44" s="55"/>
      <c r="B44" s="179"/>
      <c r="C44" s="179"/>
      <c r="D44" s="193">
        <f>SUM(D13:D20)</f>
        <v>15</v>
      </c>
      <c r="G44" s="194" t="s">
        <v>109</v>
      </c>
      <c r="H44" s="195">
        <f>SUMIF(AA$13:$AA20,"=A",H$13:H$20)</f>
        <v>37.200000000000003</v>
      </c>
      <c r="I44" s="195">
        <f>SUMIF($AA$13:AA20,"=A",I$13:I$20)</f>
        <v>14.880000000000003</v>
      </c>
      <c r="J44" s="195">
        <f>SUMIF($AA$13:AA20,"=A",J$13:J$20)</f>
        <v>9.4500000000000011</v>
      </c>
      <c r="K44" s="196">
        <f>SUM(K13:K20)</f>
        <v>0</v>
      </c>
      <c r="L44" s="197">
        <f>SUMIF($X13:$X20,"=V",L13:L20)</f>
        <v>2.016</v>
      </c>
      <c r="M44" s="193">
        <f>SUM(M13:M20)</f>
        <v>26.346000000000004</v>
      </c>
      <c r="N44" s="198">
        <f>SUMIF(AA$13:$AA20,"=A",N$13:N$20)</f>
        <v>26.346000000000004</v>
      </c>
      <c r="P44" s="196">
        <f>SUM(P13:P20)</f>
        <v>1.5268175999999998</v>
      </c>
      <c r="Q44" s="199">
        <f>SUMIF(X13:X20,"=V",Q13:Q20)</f>
        <v>0</v>
      </c>
      <c r="R44" s="200"/>
      <c r="S44" s="193">
        <f>SUMIF(X$13:$X20,"=V",S$13:S$20)</f>
        <v>3.6</v>
      </c>
      <c r="T44" s="198">
        <f>SUMIF($AA$13:AA20,"=A",T$13:T$20)</f>
        <v>21.219182400000001</v>
      </c>
      <c r="U44" s="193">
        <f>SUM(U13:U20)</f>
        <v>22.746000000000002</v>
      </c>
      <c r="V44" s="193">
        <f>SUMIF($X$13:X20,"=V",V$13:V$20)</f>
        <v>12.96</v>
      </c>
      <c r="W44" s="159"/>
      <c r="X44" s="201"/>
      <c r="Y44" s="48"/>
      <c r="Z44" s="48"/>
      <c r="AA44" s="48"/>
      <c r="AB44" s="176"/>
      <c r="AC44" s="56"/>
      <c r="AD44" s="49"/>
      <c r="AE44" s="49"/>
      <c r="AF44" s="49"/>
      <c r="AG44" s="49"/>
      <c r="AH44" s="57"/>
      <c r="AI44" s="57"/>
      <c r="AJ44" s="56"/>
      <c r="AK44" s="56"/>
      <c r="AL44" s="56"/>
      <c r="AM44" s="202"/>
      <c r="AN44" s="203"/>
      <c r="AO44" s="58"/>
      <c r="AP44" s="56"/>
      <c r="AQ44" s="56"/>
      <c r="AR44" s="57"/>
      <c r="AS44" s="59"/>
      <c r="AT44" s="598"/>
      <c r="AU44" s="599"/>
      <c r="AV44" s="179"/>
      <c r="AW44" s="179"/>
      <c r="AX44" s="179"/>
    </row>
    <row r="45" spans="1:50">
      <c r="A45" s="179"/>
      <c r="B45" s="179"/>
      <c r="C45" s="179"/>
      <c r="G45" s="194" t="s">
        <v>110</v>
      </c>
      <c r="H45" s="195">
        <f>SUMIF(AA$13:$AA20,"=B",H$13:H$20)</f>
        <v>0</v>
      </c>
      <c r="I45" s="195">
        <f>SUMIF($AA$13:AA20,"=B",I$13:I$20)</f>
        <v>0</v>
      </c>
      <c r="J45" s="195">
        <f>SUMIF($AA$13:AA20,"=B",J$13:J$20)</f>
        <v>0</v>
      </c>
      <c r="N45" s="198">
        <f>SUMIF(AA$13:$AA20,"=B",N$13:N$20)</f>
        <v>0</v>
      </c>
      <c r="S45" s="60"/>
      <c r="T45" s="198">
        <f>SUMIF($AA$13:AA20,"=B",T$13:T$20)</f>
        <v>0</v>
      </c>
      <c r="V45" s="204">
        <f>SUMIF($X$13:X20,"=M",V$13:V$20)</f>
        <v>0</v>
      </c>
      <c r="X45" s="205"/>
      <c r="Y45" s="48"/>
      <c r="Z45" s="48"/>
      <c r="AA45" s="48"/>
      <c r="AB45" s="176"/>
      <c r="AC45" s="61"/>
      <c r="AD45" s="49"/>
      <c r="AE45" s="49"/>
      <c r="AF45" s="49"/>
      <c r="AG45" s="49"/>
      <c r="AH45" s="57"/>
      <c r="AI45" s="57"/>
      <c r="AJ45" s="56"/>
      <c r="AK45" s="56"/>
      <c r="AL45" s="56"/>
      <c r="AM45" s="202"/>
      <c r="AN45" s="203"/>
      <c r="AO45" s="58"/>
      <c r="AP45" s="56"/>
      <c r="AQ45" s="56"/>
      <c r="AR45" s="57"/>
      <c r="AS45" s="59"/>
      <c r="AT45" s="598"/>
      <c r="AU45" s="599"/>
      <c r="AV45" s="179"/>
      <c r="AW45" s="206"/>
      <c r="AX45" s="181"/>
    </row>
    <row r="46" spans="1:50">
      <c r="A46" s="179"/>
      <c r="B46" s="179"/>
      <c r="C46" s="179"/>
      <c r="G46" s="151" t="s">
        <v>111</v>
      </c>
      <c r="H46" s="195">
        <f>SUMIF(AA$13:$AA20,"=C",H$13:H$20)</f>
        <v>0</v>
      </c>
      <c r="I46" s="195">
        <f>SUMIF($AA$13:AA20,"=C",I$13:I$20)</f>
        <v>0</v>
      </c>
      <c r="J46" s="195">
        <f>SUMIF($AA$13:AA20,"=C",J$13:J$20)</f>
        <v>0</v>
      </c>
      <c r="N46" s="195">
        <f>SUMIF(AA$13:$AA20,"=C",N$13:N$20)</f>
        <v>0</v>
      </c>
      <c r="S46" s="207"/>
      <c r="T46" s="195">
        <f>SUMIF($AA$13:AA20,"=C",T$13:T$20)</f>
        <v>0</v>
      </c>
      <c r="X46" s="205"/>
      <c r="Y46" s="48"/>
      <c r="Z46" s="48"/>
      <c r="AA46" s="48"/>
      <c r="AB46" s="176"/>
      <c r="AC46" s="61"/>
      <c r="AD46" s="49"/>
      <c r="AE46" s="49"/>
      <c r="AF46" s="49"/>
      <c r="AG46" s="49"/>
      <c r="AH46" s="57"/>
      <c r="AI46" s="57"/>
      <c r="AJ46" s="56"/>
      <c r="AK46" s="56"/>
      <c r="AL46" s="56"/>
      <c r="AM46" s="202"/>
      <c r="AN46" s="203"/>
      <c r="AO46" s="58"/>
      <c r="AP46" s="56"/>
      <c r="AQ46" s="56"/>
      <c r="AR46" s="57"/>
      <c r="AS46" s="59"/>
      <c r="AT46" s="598"/>
      <c r="AU46" s="599"/>
      <c r="AV46" s="179"/>
      <c r="AW46" s="206"/>
      <c r="AX46" s="179"/>
    </row>
    <row r="47" spans="1:50">
      <c r="A47" s="179"/>
      <c r="B47" s="179"/>
      <c r="C47" s="179"/>
      <c r="G47" s="151" t="s">
        <v>112</v>
      </c>
      <c r="H47" s="195">
        <f>SUMIF(AA$13:$AA20,"=D",H$13:H$20)</f>
        <v>0</v>
      </c>
      <c r="I47" s="195">
        <f>SUMIF($AA$13:AA20,"=D",I$13:I$20)</f>
        <v>0</v>
      </c>
      <c r="J47" s="195">
        <f>SUMIF($AA$13:AA20,"=D",J$13:J$20)</f>
        <v>0</v>
      </c>
      <c r="N47" s="195">
        <f>SUMIF(AA$13:$AA20,"=D",N$13:N$20)</f>
        <v>0</v>
      </c>
      <c r="S47" s="207"/>
      <c r="T47" s="195">
        <f>SUMIF($AA$13:AA20,"=D",T$13:T$20)</f>
        <v>0</v>
      </c>
      <c r="X47" s="205"/>
      <c r="Y47" s="48"/>
      <c r="Z47" s="48"/>
      <c r="AA47" s="48"/>
      <c r="AB47" s="176"/>
      <c r="AC47" s="61"/>
      <c r="AD47" s="49"/>
      <c r="AE47" s="49"/>
      <c r="AF47" s="49"/>
      <c r="AG47" s="49"/>
      <c r="AH47" s="57"/>
      <c r="AI47" s="57"/>
      <c r="AJ47" s="56"/>
      <c r="AK47" s="56"/>
      <c r="AL47" s="56"/>
      <c r="AM47" s="202"/>
      <c r="AN47" s="203"/>
      <c r="AO47" s="58"/>
      <c r="AP47" s="56"/>
      <c r="AQ47" s="56"/>
      <c r="AR47" s="57"/>
      <c r="AS47" s="59"/>
      <c r="AT47" s="598"/>
      <c r="AU47" s="599"/>
      <c r="AV47" s="179"/>
      <c r="AW47" s="206"/>
      <c r="AX47" s="179"/>
    </row>
    <row r="48" spans="1:50">
      <c r="A48" s="179"/>
      <c r="B48" s="179"/>
      <c r="C48" s="179"/>
      <c r="S48" s="207"/>
      <c r="X48" s="205"/>
      <c r="Y48" s="201"/>
      <c r="Z48" s="201"/>
      <c r="AA48" s="175"/>
      <c r="AB48" s="48"/>
      <c r="AC48" s="62"/>
      <c r="AD48" s="63"/>
      <c r="AE48" s="63"/>
      <c r="AF48" s="63"/>
      <c r="AG48" s="63"/>
      <c r="AH48" s="64"/>
      <c r="AI48" s="64"/>
      <c r="AJ48" s="62"/>
      <c r="AK48" s="65"/>
      <c r="AL48" s="66"/>
      <c r="AM48" s="67"/>
      <c r="AN48" s="68"/>
      <c r="AO48" s="68"/>
      <c r="AP48" s="69"/>
      <c r="AQ48" s="69"/>
      <c r="AR48" s="208"/>
      <c r="AS48" s="48"/>
      <c r="AT48" s="63"/>
      <c r="AU48" s="64"/>
    </row>
    <row r="49" spans="1:44" ht="18">
      <c r="A49" s="600" t="s">
        <v>113</v>
      </c>
      <c r="B49" s="601"/>
      <c r="C49" s="601"/>
      <c r="D49" s="601"/>
      <c r="E49" s="601"/>
      <c r="F49" s="601"/>
      <c r="G49" s="601"/>
      <c r="H49" s="601"/>
      <c r="I49" s="601"/>
      <c r="J49" s="601"/>
      <c r="K49" s="601"/>
      <c r="L49" s="601"/>
      <c r="M49" s="601"/>
      <c r="N49" s="601"/>
      <c r="O49" s="601"/>
      <c r="P49" s="601"/>
      <c r="Q49" s="601"/>
      <c r="R49" s="601"/>
      <c r="S49" s="601"/>
      <c r="T49" s="601"/>
      <c r="U49" s="601"/>
      <c r="V49" s="601"/>
      <c r="W49" s="602"/>
      <c r="Y49" s="205"/>
      <c r="Z49" s="205"/>
      <c r="AA49" s="205"/>
      <c r="AJ49" s="62"/>
      <c r="AO49" s="62"/>
    </row>
    <row r="50" spans="1:44" ht="18">
      <c r="G50" s="179"/>
      <c r="I50" s="209"/>
      <c r="J50" s="209"/>
      <c r="W50" s="205"/>
      <c r="Y50" s="205"/>
      <c r="Z50" s="205"/>
      <c r="AA50" s="205"/>
      <c r="AO50" s="62"/>
    </row>
    <row r="51" spans="1:44" ht="38.25">
      <c r="B51" s="603" t="s">
        <v>114</v>
      </c>
      <c r="C51" s="604"/>
      <c r="D51" s="210" t="s">
        <v>115</v>
      </c>
      <c r="E51" s="210" t="s">
        <v>116</v>
      </c>
      <c r="F51" s="210" t="s">
        <v>117</v>
      </c>
      <c r="G51" s="210" t="s">
        <v>118</v>
      </c>
      <c r="H51" s="210" t="s">
        <v>119</v>
      </c>
      <c r="I51" s="210" t="s">
        <v>120</v>
      </c>
      <c r="J51" s="210" t="s">
        <v>121</v>
      </c>
      <c r="L51" s="210" t="s">
        <v>122</v>
      </c>
      <c r="M51" s="595" t="s">
        <v>123</v>
      </c>
      <c r="N51" s="595"/>
      <c r="O51" s="595" t="s">
        <v>124</v>
      </c>
      <c r="P51" s="595"/>
      <c r="W51" s="70"/>
      <c r="Y51" s="205"/>
      <c r="AA51" s="605" t="s">
        <v>125</v>
      </c>
      <c r="AB51" s="606"/>
      <c r="AC51" s="606"/>
      <c r="AD51" s="606"/>
      <c r="AE51" s="607"/>
    </row>
    <row r="52" spans="1:44">
      <c r="B52" s="587">
        <v>30</v>
      </c>
      <c r="C52" s="588"/>
      <c r="D52" s="211">
        <f>D44</f>
        <v>15</v>
      </c>
      <c r="E52" s="212"/>
      <c r="F52" s="213"/>
      <c r="G52" s="213"/>
      <c r="H52" s="213"/>
      <c r="I52" s="214"/>
      <c r="J52" s="215">
        <f t="shared" ref="J52:J58" si="13">D52*0.2*0.025</f>
        <v>7.5000000000000011E-2</v>
      </c>
      <c r="L52" s="71" t="s">
        <v>126</v>
      </c>
      <c r="M52" s="589">
        <f>N44</f>
        <v>26.346000000000004</v>
      </c>
      <c r="N52" s="590"/>
      <c r="O52" s="589">
        <v>0</v>
      </c>
      <c r="P52" s="590"/>
      <c r="W52" s="48"/>
      <c r="Y52" s="205"/>
      <c r="AA52" s="591" t="s">
        <v>127</v>
      </c>
      <c r="AB52" s="592"/>
      <c r="AC52" s="595" t="s">
        <v>128</v>
      </c>
      <c r="AD52" s="597" t="s">
        <v>129</v>
      </c>
      <c r="AE52" s="597"/>
    </row>
    <row r="53" spans="1:44">
      <c r="B53" s="577">
        <v>40</v>
      </c>
      <c r="C53" s="578"/>
      <c r="D53" s="72">
        <f>SUMIF($O$13:$O$50,0.48,$D$13:$D$63)</f>
        <v>0</v>
      </c>
      <c r="E53" s="216">
        <f>SUMIFS($Z$13:$Z$20,$C$13:$C$20,"PV",$O$13:$O$20,0.48)</f>
        <v>0</v>
      </c>
      <c r="F53" s="216">
        <f>SUMIFS($Z$13:$Z$20,$C$13:$C$20,"PVBL",$O$13:$O$20,0.48)</f>
        <v>0</v>
      </c>
      <c r="G53" s="216">
        <f>SUMIFS($Z$13:$Z$20,$C$13:$C$20,"CL",$O$13:$O$20,0.48)</f>
        <v>0</v>
      </c>
      <c r="H53" s="216">
        <f>SUMIFS($Z$13:$Z$20,$C$13:$C$20,"CI",$O$13:$O$20,0.48)</f>
        <v>0</v>
      </c>
      <c r="I53" s="217">
        <f t="shared" ref="I53:I58" si="14">(E53+G53+H53)*E107*0.05</f>
        <v>0</v>
      </c>
      <c r="J53" s="218">
        <f t="shared" si="13"/>
        <v>0</v>
      </c>
      <c r="L53" s="73" t="s">
        <v>110</v>
      </c>
      <c r="M53" s="583">
        <f>N45</f>
        <v>0</v>
      </c>
      <c r="N53" s="584"/>
      <c r="O53" s="583">
        <f t="shared" ref="O53:O55" si="15">H45</f>
        <v>0</v>
      </c>
      <c r="P53" s="584"/>
      <c r="W53" s="48"/>
      <c r="AA53" s="593"/>
      <c r="AB53" s="594"/>
      <c r="AC53" s="596"/>
      <c r="AD53" s="219" t="s">
        <v>130</v>
      </c>
      <c r="AE53" s="219" t="s">
        <v>131</v>
      </c>
      <c r="AL53" s="220"/>
      <c r="AM53" s="221"/>
      <c r="AN53" s="222"/>
      <c r="AO53" s="222"/>
      <c r="AP53" s="220"/>
      <c r="AQ53" s="223"/>
      <c r="AR53" s="208"/>
    </row>
    <row r="54" spans="1:44">
      <c r="B54" s="577">
        <v>60</v>
      </c>
      <c r="C54" s="578"/>
      <c r="D54" s="72">
        <f>SUMIF($O$13:$O$50,0.72,$D$13:$D$63)</f>
        <v>0</v>
      </c>
      <c r="E54" s="216">
        <f>SUMIFS($Z$13:$Z$20,$C$13:$C$20,"PV",$O$13:$O$20,0.72)</f>
        <v>0</v>
      </c>
      <c r="F54" s="216">
        <f>SUMIFS($Z$13:$Z$20,$C$13:$C$20,"PVBL",$O$13:$O$20,0.72)</f>
        <v>0</v>
      </c>
      <c r="G54" s="216">
        <f>SUMIFS($Z$13:$Z$20,$C$13:$C$20,"CL",$O$13:$O$20,0.72)</f>
        <v>0</v>
      </c>
      <c r="H54" s="216">
        <f>SUMIFS($Z$13:$Z$20,$C$13:$C$20,"CI",$O$13:$O$20,0.72)</f>
        <v>0</v>
      </c>
      <c r="I54" s="217">
        <f t="shared" si="14"/>
        <v>0</v>
      </c>
      <c r="J54" s="218">
        <f t="shared" si="13"/>
        <v>0</v>
      </c>
      <c r="L54" s="74" t="s">
        <v>111</v>
      </c>
      <c r="M54" s="583">
        <f>N46</f>
        <v>0</v>
      </c>
      <c r="N54" s="584"/>
      <c r="O54" s="583">
        <f t="shared" si="15"/>
        <v>0</v>
      </c>
      <c r="P54" s="584"/>
      <c r="W54" s="224"/>
      <c r="AA54" s="75" t="s">
        <v>132</v>
      </c>
      <c r="AB54" s="76" t="s">
        <v>105</v>
      </c>
      <c r="AC54" s="225">
        <v>0.05</v>
      </c>
      <c r="AD54" s="226">
        <f>SUMIF(W$13:W$20,"A",V$13:V$20)</f>
        <v>12.96</v>
      </c>
      <c r="AE54" s="227">
        <f>AD54*AC54</f>
        <v>0.64800000000000013</v>
      </c>
      <c r="AL54" s="220"/>
      <c r="AM54" s="228"/>
      <c r="AN54" s="222"/>
      <c r="AO54" s="222"/>
      <c r="AP54" s="220"/>
      <c r="AQ54" s="223"/>
      <c r="AR54" s="208"/>
    </row>
    <row r="55" spans="1:44">
      <c r="B55" s="577">
        <v>80</v>
      </c>
      <c r="C55" s="578"/>
      <c r="D55" s="72">
        <f>SUMIF($O$13:$O$50,0.95,$D$13:$D$63)</f>
        <v>0</v>
      </c>
      <c r="E55" s="216">
        <f>SUMIFS($Z$13:$Z$20,$C$13:$C$20,"PV",$O$13:$O$20,0.95)</f>
        <v>0</v>
      </c>
      <c r="F55" s="216">
        <f>SUMIFS($Z$13:$Z$20,$C$13:$C$20,"PVBL",$O$13:$O$20,0.95)</f>
        <v>0</v>
      </c>
      <c r="G55" s="216">
        <f>SUMIFS($Z$13:$Z$20,$C$13:$C$20,"CL",$O$13:$O$20,0.95)</f>
        <v>0</v>
      </c>
      <c r="H55" s="216">
        <f>SUMIFS($Z$13:$Z$20,$C$13:$C$20,"CI",$O$13:$O$20,0.95)</f>
        <v>0</v>
      </c>
      <c r="I55" s="217">
        <f t="shared" si="14"/>
        <v>0</v>
      </c>
      <c r="J55" s="218">
        <f t="shared" si="13"/>
        <v>0</v>
      </c>
      <c r="L55" s="77" t="s">
        <v>112</v>
      </c>
      <c r="M55" s="585">
        <f>N47</f>
        <v>0</v>
      </c>
      <c r="N55" s="586"/>
      <c r="O55" s="585">
        <f t="shared" si="15"/>
        <v>0</v>
      </c>
      <c r="P55" s="586"/>
      <c r="W55" s="224"/>
      <c r="AA55" s="78" t="s">
        <v>133</v>
      </c>
      <c r="AB55" s="79" t="s">
        <v>11</v>
      </c>
      <c r="AC55" s="229">
        <v>0.08</v>
      </c>
      <c r="AD55" s="230">
        <f>SUMIF(W$13:W$16,"L",V$13:V$16)</f>
        <v>0</v>
      </c>
      <c r="AE55" s="231">
        <f>AD55*AC55</f>
        <v>0</v>
      </c>
      <c r="AL55" s="220"/>
      <c r="AM55" s="228"/>
      <c r="AN55" s="222"/>
      <c r="AO55" s="222"/>
      <c r="AP55" s="220"/>
      <c r="AQ55" s="232"/>
      <c r="AR55" s="208"/>
    </row>
    <row r="56" spans="1:44">
      <c r="B56" s="577">
        <v>100</v>
      </c>
      <c r="C56" s="578"/>
      <c r="D56" s="72">
        <f>SUMIF($O$13:$O$50,1.2,$D$13:$D$63)</f>
        <v>0</v>
      </c>
      <c r="E56" s="216">
        <f>SUMIFS($Z$13:$Z$20,$C$13:$C$20,"PV",$O$13:$O$20,1.2)</f>
        <v>0</v>
      </c>
      <c r="F56" s="216">
        <f>SUMIFS($Z$13:$Z$20,$C$13:$C$20,"PVBL",$O$13:$O$20,1.2)</f>
        <v>0</v>
      </c>
      <c r="G56" s="216">
        <f>SUMIFS($Z$13:$Z$20,$C$13:$C$20,"CL",$O$13:$O$20,1.2)</f>
        <v>0</v>
      </c>
      <c r="H56" s="216">
        <f>SUMIFS($Z$13:$Z$20,$C$13:$C$20,"CI",$O$13:$O$20,1.2)</f>
        <v>0</v>
      </c>
      <c r="I56" s="217">
        <f t="shared" si="14"/>
        <v>0</v>
      </c>
      <c r="J56" s="218">
        <f t="shared" si="13"/>
        <v>0</v>
      </c>
      <c r="W56" s="224"/>
      <c r="AA56" s="78" t="s">
        <v>134</v>
      </c>
      <c r="AB56" s="79" t="s">
        <v>13</v>
      </c>
      <c r="AC56" s="229">
        <v>0.12</v>
      </c>
      <c r="AD56" s="230">
        <f>SUMIF(W$13:W$16,"P",V$13:V$16)</f>
        <v>0</v>
      </c>
      <c r="AE56" s="231">
        <f>AD56*AC56</f>
        <v>0</v>
      </c>
      <c r="AL56" s="220"/>
      <c r="AM56" s="228"/>
      <c r="AN56" s="222"/>
      <c r="AO56" s="222"/>
      <c r="AP56" s="220"/>
      <c r="AQ56" s="232"/>
      <c r="AR56" s="208"/>
    </row>
    <row r="57" spans="1:44">
      <c r="B57" s="577">
        <v>120</v>
      </c>
      <c r="C57" s="578"/>
      <c r="D57" s="72">
        <f>SUMIF($O$13:$O$50,1.4,$D$13:$D$63)</f>
        <v>0</v>
      </c>
      <c r="E57" s="216">
        <f>SUMIFS($Z$13:$Z$20,$C$13:$C$20,"PV",$O$13:$O$20,1.4)</f>
        <v>0</v>
      </c>
      <c r="F57" s="216">
        <f>SUMIFS($Z$13:$Z$20,$C$13:$C$20,"PVBL",$O$13:$O$20,1.4)</f>
        <v>0</v>
      </c>
      <c r="G57" s="216">
        <f>SUMIFS($Z$13:$Z$20,$C$13:$C$20,"CL",$O$13:$O$20,1.4)</f>
        <v>0</v>
      </c>
      <c r="H57" s="216">
        <f>SUMIFS($Z$13:$Z$20,$C$13:$C$20,"CI",$O$13:$O$20,1.4)</f>
        <v>0</v>
      </c>
      <c r="I57" s="217">
        <f t="shared" si="14"/>
        <v>0</v>
      </c>
      <c r="J57" s="218">
        <f t="shared" si="13"/>
        <v>0</v>
      </c>
      <c r="L57" s="566" t="s">
        <v>135</v>
      </c>
      <c r="M57" s="566"/>
      <c r="N57" s="566"/>
      <c r="O57" s="566"/>
      <c r="P57" s="566"/>
      <c r="W57" s="233"/>
      <c r="AA57" s="80" t="s">
        <v>136</v>
      </c>
      <c r="AB57" s="81" t="s">
        <v>107</v>
      </c>
      <c r="AC57" s="234"/>
      <c r="AD57" s="235">
        <f>SUMIF(W$13:W$16,"M",V$13:V$16)</f>
        <v>0</v>
      </c>
      <c r="AE57" s="236"/>
      <c r="AL57" s="220"/>
      <c r="AM57" s="228"/>
      <c r="AN57" s="222"/>
      <c r="AO57" s="222"/>
      <c r="AP57" s="220"/>
      <c r="AQ57" s="232"/>
      <c r="AR57" s="208"/>
    </row>
    <row r="58" spans="1:44">
      <c r="B58" s="579">
        <v>150</v>
      </c>
      <c r="C58" s="580"/>
      <c r="D58" s="82">
        <f>SUMIF($O$13:$O$50,1.75,$D$13:$D$63)</f>
        <v>0</v>
      </c>
      <c r="E58" s="237">
        <f>SUMIFS($Z$13:$Z$20,$C$13:$C$20,"PV",$O$13:$O$20,1.75)</f>
        <v>0</v>
      </c>
      <c r="F58" s="216">
        <f>SUMIFS($Z$13:$Z$20,$C$13:$C$20,"PVBL",$O$13:$O$20,1.75)</f>
        <v>0</v>
      </c>
      <c r="G58" s="237">
        <f>SUMIFS($Z$13:$Z$20,$C$13:$C$20,"CL",$O$13:$O$20,1.75)</f>
        <v>0</v>
      </c>
      <c r="H58" s="237">
        <f>SUMIFS($Z$13:$Z$20,$C$13:$C$20,"CI",$O$13:$O$20,1.75)</f>
        <v>0</v>
      </c>
      <c r="I58" s="238">
        <f t="shared" si="14"/>
        <v>0</v>
      </c>
      <c r="J58" s="239">
        <f t="shared" si="13"/>
        <v>0</v>
      </c>
      <c r="L58" s="219" t="s">
        <v>127</v>
      </c>
      <c r="M58" s="219" t="s">
        <v>131</v>
      </c>
      <c r="N58" s="219" t="s">
        <v>137</v>
      </c>
      <c r="O58" s="219" t="s">
        <v>138</v>
      </c>
      <c r="P58" s="219" t="s">
        <v>139</v>
      </c>
      <c r="AL58" s="220"/>
      <c r="AM58" s="228"/>
      <c r="AN58" s="222"/>
      <c r="AO58" s="222"/>
      <c r="AP58" s="220"/>
      <c r="AQ58" s="232"/>
      <c r="AR58" s="208"/>
    </row>
    <row r="59" spans="1:44">
      <c r="B59" s="581" t="s">
        <v>140</v>
      </c>
      <c r="C59" s="582"/>
      <c r="D59" s="240">
        <f t="shared" ref="D59:E59" si="16">SUM(D52:D58)</f>
        <v>15</v>
      </c>
      <c r="E59" s="241">
        <f t="shared" si="16"/>
        <v>0</v>
      </c>
      <c r="F59" s="242"/>
      <c r="G59" s="241">
        <f>SUM(G52:G58)</f>
        <v>0</v>
      </c>
      <c r="H59" s="241">
        <f>SUM(H52:H58)</f>
        <v>0</v>
      </c>
      <c r="I59" s="241">
        <f>SUM(I52:I58)</f>
        <v>0</v>
      </c>
      <c r="J59" s="243">
        <f>SUM(J52:J58)</f>
        <v>7.5000000000000011E-2</v>
      </c>
      <c r="L59" s="71" t="s">
        <v>141</v>
      </c>
      <c r="M59" s="244">
        <f>U44</f>
        <v>22.746000000000002</v>
      </c>
      <c r="N59" s="245">
        <v>1.6</v>
      </c>
      <c r="O59" s="246">
        <v>0.25</v>
      </c>
      <c r="P59" s="213">
        <f>((M59*O59)+M59)*N59</f>
        <v>45.492000000000012</v>
      </c>
      <c r="AL59" s="220"/>
      <c r="AM59" s="228"/>
      <c r="AN59" s="222"/>
      <c r="AO59" s="222"/>
      <c r="AP59" s="220"/>
      <c r="AQ59" s="232"/>
      <c r="AR59" s="208"/>
    </row>
    <row r="60" spans="1:44">
      <c r="L60" s="77" t="s">
        <v>142</v>
      </c>
      <c r="M60" s="247">
        <f>O67</f>
        <v>21.219182400000001</v>
      </c>
      <c r="N60" s="237">
        <v>13.65</v>
      </c>
      <c r="O60" s="248">
        <v>0.25</v>
      </c>
      <c r="P60" s="239">
        <f>((M60*O60)+M60)*N60</f>
        <v>362.05229969999999</v>
      </c>
      <c r="AK60" s="220"/>
      <c r="AL60" s="220"/>
      <c r="AM60" s="228"/>
      <c r="AN60" s="222"/>
      <c r="AO60" s="222"/>
      <c r="AP60" s="220"/>
      <c r="AQ60" s="232"/>
      <c r="AR60" s="208"/>
    </row>
    <row r="61" spans="1:44">
      <c r="B61" s="565" t="s">
        <v>143</v>
      </c>
      <c r="C61" s="565"/>
      <c r="D61" s="565"/>
      <c r="E61" s="565"/>
      <c r="F61" s="565"/>
      <c r="G61" s="249">
        <f>SUMIF(X13:X20,"=M",L13:L20)-G62</f>
        <v>0</v>
      </c>
      <c r="L61" s="69"/>
      <c r="M61" s="250"/>
      <c r="N61" s="251"/>
      <c r="O61" s="252"/>
      <c r="P61" s="253"/>
      <c r="AK61" s="220"/>
      <c r="AL61" s="220"/>
      <c r="AM61" s="228"/>
      <c r="AN61" s="222"/>
      <c r="AO61" s="222"/>
      <c r="AP61" s="220"/>
      <c r="AQ61" s="232"/>
      <c r="AR61" s="208"/>
    </row>
    <row r="62" spans="1:44">
      <c r="B62" s="565" t="s">
        <v>144</v>
      </c>
      <c r="C62" s="565"/>
      <c r="D62" s="565"/>
      <c r="E62" s="565"/>
      <c r="F62" s="565"/>
      <c r="G62" s="249">
        <v>2</v>
      </c>
      <c r="L62" s="566" t="s">
        <v>145</v>
      </c>
      <c r="M62" s="566"/>
      <c r="N62" s="566"/>
      <c r="O62" s="566"/>
      <c r="P62" s="253"/>
      <c r="AK62" s="220"/>
      <c r="AL62" s="220"/>
      <c r="AM62" s="228"/>
      <c r="AN62" s="222"/>
      <c r="AO62" s="222"/>
      <c r="AP62" s="220"/>
      <c r="AQ62" s="232"/>
      <c r="AR62" s="208"/>
    </row>
    <row r="63" spans="1:44">
      <c r="L63" s="567" t="s">
        <v>146</v>
      </c>
      <c r="M63" s="568"/>
      <c r="N63" s="83" t="s">
        <v>147</v>
      </c>
      <c r="O63" s="84">
        <f>T44</f>
        <v>21.219182400000001</v>
      </c>
      <c r="AK63" s="220"/>
      <c r="AL63" s="220"/>
      <c r="AM63" s="228"/>
      <c r="AN63" s="222"/>
      <c r="AO63" s="222"/>
      <c r="AP63" s="220"/>
      <c r="AQ63" s="232"/>
      <c r="AR63" s="208"/>
    </row>
    <row r="64" spans="1:44">
      <c r="B64" s="70"/>
      <c r="C64" s="70"/>
      <c r="D64" s="70"/>
      <c r="E64" s="70"/>
      <c r="F64" s="161"/>
      <c r="L64" s="569"/>
      <c r="M64" s="570"/>
      <c r="N64" s="85" t="s">
        <v>110</v>
      </c>
      <c r="O64" s="254">
        <f>T45</f>
        <v>0</v>
      </c>
      <c r="AK64" s="220"/>
      <c r="AL64" s="220"/>
      <c r="AM64" s="228"/>
      <c r="AN64" s="222"/>
      <c r="AO64" s="222"/>
      <c r="AP64" s="220"/>
      <c r="AQ64" s="232"/>
      <c r="AR64" s="208"/>
    </row>
    <row r="65" spans="1:44">
      <c r="B65" s="86"/>
      <c r="C65" s="161"/>
      <c r="D65" s="161"/>
      <c r="E65" s="161"/>
      <c r="F65" s="161"/>
      <c r="L65" s="569"/>
      <c r="M65" s="570"/>
      <c r="N65" s="85" t="s">
        <v>111</v>
      </c>
      <c r="O65" s="254">
        <f>T46</f>
        <v>0</v>
      </c>
      <c r="AK65" s="220"/>
      <c r="AL65" s="220"/>
      <c r="AM65" s="228"/>
      <c r="AN65" s="222"/>
      <c r="AO65" s="222"/>
      <c r="AP65" s="220"/>
      <c r="AQ65" s="232"/>
      <c r="AR65" s="208"/>
    </row>
    <row r="66" spans="1:44">
      <c r="B66" s="86"/>
      <c r="C66" s="161"/>
      <c r="D66" s="161"/>
      <c r="E66" s="161"/>
      <c r="F66" s="161"/>
      <c r="L66" s="569"/>
      <c r="M66" s="570"/>
      <c r="N66" s="87" t="s">
        <v>111</v>
      </c>
      <c r="O66" s="254">
        <f>T47</f>
        <v>0</v>
      </c>
      <c r="P66" s="88"/>
      <c r="Q66" s="88"/>
      <c r="AK66" s="220"/>
      <c r="AL66" s="220"/>
      <c r="AM66" s="228"/>
      <c r="AN66" s="222"/>
      <c r="AO66" s="222"/>
      <c r="AP66" s="220"/>
      <c r="AQ66" s="232"/>
      <c r="AR66" s="208"/>
    </row>
    <row r="67" spans="1:44">
      <c r="L67" s="571"/>
      <c r="M67" s="572"/>
      <c r="N67" s="89" t="s">
        <v>148</v>
      </c>
      <c r="O67" s="90">
        <f>SUM(O63:O66)</f>
        <v>21.219182400000001</v>
      </c>
      <c r="AJ67" s="220"/>
      <c r="AK67" s="220"/>
      <c r="AL67" s="220"/>
      <c r="AM67" s="228"/>
      <c r="AN67" s="222"/>
      <c r="AO67" s="222"/>
      <c r="AP67" s="220"/>
      <c r="AQ67" s="232"/>
      <c r="AR67" s="208"/>
    </row>
    <row r="68" spans="1:44">
      <c r="L68" s="573" t="s">
        <v>149</v>
      </c>
      <c r="M68" s="574"/>
      <c r="N68" s="91" t="s">
        <v>147</v>
      </c>
      <c r="O68" s="255">
        <f>S44</f>
        <v>3.6</v>
      </c>
      <c r="AJ68" s="220"/>
      <c r="AK68" s="220"/>
      <c r="AL68" s="220"/>
      <c r="AM68" s="228"/>
      <c r="AN68" s="222"/>
      <c r="AO68" s="222"/>
      <c r="AP68" s="220"/>
      <c r="AQ68" s="232"/>
      <c r="AR68" s="208"/>
    </row>
    <row r="69" spans="1:44">
      <c r="L69" s="575" t="s">
        <v>150</v>
      </c>
      <c r="M69" s="575"/>
      <c r="N69" s="576">
        <f>SUMIF($R13:$R16,"=Rachão/Brita",$Q13:$Q16)*(2/3)</f>
        <v>0</v>
      </c>
      <c r="O69" s="576"/>
      <c r="AJ69" s="220"/>
      <c r="AK69" s="220"/>
      <c r="AL69" s="220"/>
      <c r="AM69" s="228"/>
      <c r="AN69" s="222"/>
      <c r="AO69" s="222"/>
      <c r="AP69" s="220"/>
      <c r="AQ69" s="232"/>
      <c r="AR69" s="208"/>
    </row>
    <row r="70" spans="1:44">
      <c r="L70" s="561" t="s">
        <v>151</v>
      </c>
      <c r="M70" s="561"/>
      <c r="N70" s="562">
        <f>SUMIF($R13:$R16,"=Brita",$Q13:$Q16)+(N69*1/2)</f>
        <v>0</v>
      </c>
      <c r="O70" s="562"/>
      <c r="AD70" s="256"/>
      <c r="AE70" s="256"/>
      <c r="AF70" s="256"/>
      <c r="AG70" s="256"/>
      <c r="AH70" s="256"/>
      <c r="AI70" s="256"/>
      <c r="AJ70" s="220"/>
      <c r="AK70" s="220"/>
      <c r="AL70" s="220"/>
      <c r="AM70" s="228"/>
      <c r="AN70" s="222"/>
      <c r="AO70" s="222"/>
      <c r="AP70" s="220"/>
      <c r="AQ70" s="232"/>
      <c r="AR70" s="208"/>
    </row>
    <row r="71" spans="1:44">
      <c r="AD71" s="256"/>
      <c r="AE71" s="256"/>
      <c r="AF71" s="256"/>
      <c r="AG71" s="256"/>
      <c r="AH71" s="256"/>
      <c r="AI71" s="256"/>
      <c r="AJ71" s="220"/>
      <c r="AK71" s="220"/>
      <c r="AL71" s="220"/>
      <c r="AM71" s="228"/>
      <c r="AN71" s="222"/>
      <c r="AO71" s="222"/>
      <c r="AP71" s="220"/>
      <c r="AQ71" s="232"/>
      <c r="AR71" s="208"/>
    </row>
    <row r="72" spans="1:44">
      <c r="AD72" s="256"/>
      <c r="AE72" s="256"/>
      <c r="AF72" s="256"/>
      <c r="AG72" s="256"/>
      <c r="AH72" s="256"/>
      <c r="AI72" s="256"/>
      <c r="AJ72" s="220"/>
      <c r="AK72" s="220"/>
      <c r="AL72" s="220"/>
      <c r="AM72" s="228"/>
      <c r="AN72" s="222"/>
      <c r="AO72" s="222"/>
      <c r="AP72" s="220"/>
      <c r="AQ72" s="232"/>
      <c r="AR72" s="208"/>
    </row>
    <row r="73" spans="1:44">
      <c r="A73" s="6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U73" s="69"/>
      <c r="V73" s="69"/>
      <c r="AD73" s="256"/>
      <c r="AE73" s="256"/>
      <c r="AF73" s="256"/>
      <c r="AG73" s="256"/>
      <c r="AH73" s="256"/>
      <c r="AI73" s="256"/>
      <c r="AJ73" s="220"/>
      <c r="AK73" s="220"/>
      <c r="AL73" s="220"/>
      <c r="AM73" s="228"/>
      <c r="AN73" s="222"/>
      <c r="AO73" s="222"/>
      <c r="AP73" s="220"/>
      <c r="AQ73" s="232"/>
      <c r="AR73" s="208"/>
    </row>
    <row r="74" spans="1:44">
      <c r="A74" s="92" t="s">
        <v>152</v>
      </c>
      <c r="B74" s="93"/>
      <c r="C74" s="93"/>
      <c r="D74" s="94" t="s">
        <v>153</v>
      </c>
      <c r="E74" s="95"/>
      <c r="F74" s="96" t="s">
        <v>154</v>
      </c>
      <c r="G74" s="97">
        <v>0</v>
      </c>
      <c r="H74" s="98" t="s">
        <v>155</v>
      </c>
      <c r="K74" s="563"/>
      <c r="U74" s="88"/>
      <c r="V74" s="88"/>
      <c r="W74" s="88"/>
      <c r="AD74" s="256"/>
      <c r="AE74" s="256"/>
      <c r="AF74" s="256"/>
      <c r="AG74" s="256"/>
      <c r="AH74" s="256"/>
      <c r="AI74" s="256"/>
      <c r="AJ74" s="220"/>
      <c r="AK74" s="220"/>
      <c r="AL74" s="220"/>
      <c r="AM74" s="228"/>
      <c r="AN74" s="222"/>
      <c r="AO74" s="222"/>
      <c r="AP74" s="220"/>
      <c r="AQ74" s="232"/>
      <c r="AR74" s="208"/>
    </row>
    <row r="75" spans="1:44">
      <c r="A75" s="564" t="s">
        <v>105</v>
      </c>
      <c r="B75" s="564"/>
      <c r="C75" s="564"/>
      <c r="D75" s="99">
        <v>0</v>
      </c>
      <c r="E75" s="95"/>
      <c r="F75" s="96" t="s">
        <v>154</v>
      </c>
      <c r="G75" s="97">
        <v>0.2</v>
      </c>
      <c r="H75" s="98" t="s">
        <v>156</v>
      </c>
      <c r="K75" s="563"/>
      <c r="U75" s="88"/>
      <c r="W75" s="88"/>
      <c r="AD75" s="256"/>
      <c r="AE75" s="256"/>
      <c r="AF75" s="256"/>
      <c r="AG75" s="256"/>
      <c r="AH75" s="256"/>
      <c r="AI75" s="256"/>
      <c r="AJ75" s="220"/>
      <c r="AK75" s="220"/>
      <c r="AL75" s="220"/>
      <c r="AM75" s="228"/>
      <c r="AN75" s="222"/>
      <c r="AO75" s="222"/>
      <c r="AP75" s="220"/>
      <c r="AQ75" s="232"/>
      <c r="AR75" s="208"/>
    </row>
    <row r="76" spans="1:44">
      <c r="A76" s="564" t="s">
        <v>11</v>
      </c>
      <c r="B76" s="564"/>
      <c r="C76" s="564"/>
      <c r="D76" s="96">
        <v>0.08</v>
      </c>
      <c r="E76" s="95"/>
      <c r="F76" s="96" t="s">
        <v>154</v>
      </c>
      <c r="G76" s="97">
        <v>0.3</v>
      </c>
      <c r="H76" s="100" t="s">
        <v>157</v>
      </c>
      <c r="K76" s="563"/>
      <c r="U76" s="101"/>
      <c r="W76" s="102"/>
      <c r="AD76" s="256"/>
      <c r="AE76" s="256"/>
      <c r="AF76" s="256"/>
      <c r="AG76" s="256"/>
      <c r="AH76" s="256"/>
      <c r="AI76" s="256"/>
      <c r="AJ76" s="220"/>
      <c r="AK76" s="220"/>
      <c r="AL76" s="220"/>
      <c r="AM76" s="228"/>
      <c r="AN76" s="222"/>
      <c r="AO76" s="222"/>
      <c r="AP76" s="220"/>
      <c r="AQ76" s="232"/>
      <c r="AR76" s="208"/>
    </row>
    <row r="77" spans="1:44">
      <c r="A77" s="564" t="s">
        <v>13</v>
      </c>
      <c r="B77" s="564"/>
      <c r="C77" s="564"/>
      <c r="D77" s="96">
        <v>0.12</v>
      </c>
      <c r="E77" s="95"/>
      <c r="F77" s="69"/>
      <c r="K77" s="563"/>
      <c r="P77" s="69"/>
      <c r="Q77" s="69"/>
      <c r="R77" s="69"/>
      <c r="S77" s="69"/>
      <c r="T77" s="69"/>
      <c r="U77" s="69"/>
      <c r="AR77" s="208"/>
    </row>
    <row r="78" spans="1:44">
      <c r="A78" s="103" t="s">
        <v>158</v>
      </c>
      <c r="B78" s="104"/>
      <c r="C78" s="105"/>
      <c r="D78" s="96">
        <v>0.17</v>
      </c>
      <c r="E78" s="95"/>
      <c r="F78" s="106" t="s">
        <v>159</v>
      </c>
      <c r="G78" s="107"/>
      <c r="H78" s="108">
        <f>3.1416*(A83/2)^2</f>
        <v>0.10178783999999999</v>
      </c>
      <c r="I78" s="69" t="s">
        <v>160</v>
      </c>
      <c r="S78" s="88"/>
      <c r="T78" s="88"/>
      <c r="AR78" s="208"/>
    </row>
    <row r="79" spans="1:44">
      <c r="A79" s="103" t="s">
        <v>107</v>
      </c>
      <c r="B79" s="104"/>
      <c r="C79" s="105"/>
      <c r="D79" s="96">
        <v>0</v>
      </c>
      <c r="E79" s="95"/>
      <c r="F79" s="69"/>
      <c r="G79" s="69"/>
      <c r="H79" s="109"/>
      <c r="I79" s="69"/>
      <c r="S79" s="88"/>
      <c r="T79" s="88"/>
      <c r="AR79" s="208"/>
    </row>
    <row r="80" spans="1:44">
      <c r="A80" s="64"/>
      <c r="B80" s="110"/>
      <c r="C80" s="110"/>
      <c r="D80" s="70"/>
      <c r="E80" s="70"/>
      <c r="F80" s="69"/>
      <c r="G80" s="69"/>
      <c r="H80" s="69"/>
      <c r="I80" s="69"/>
      <c r="T80" s="88"/>
      <c r="AR80" s="208"/>
    </row>
    <row r="81" spans="1:44">
      <c r="A81" s="550" t="s">
        <v>161</v>
      </c>
      <c r="B81" s="550"/>
      <c r="C81" s="550"/>
      <c r="D81" s="550"/>
      <c r="E81" s="111"/>
      <c r="F81" s="550" t="s">
        <v>162</v>
      </c>
      <c r="G81" s="550"/>
      <c r="H81" s="550"/>
      <c r="I81" s="112"/>
      <c r="T81" s="102"/>
      <c r="U81" s="69"/>
      <c r="AR81" s="208"/>
    </row>
    <row r="82" spans="1:44" ht="25.5">
      <c r="A82" s="113" t="s">
        <v>163</v>
      </c>
      <c r="B82" s="560" t="s">
        <v>164</v>
      </c>
      <c r="C82" s="560"/>
      <c r="D82" s="114" t="s">
        <v>165</v>
      </c>
      <c r="E82" s="115"/>
      <c r="F82" s="116" t="s">
        <v>166</v>
      </c>
      <c r="G82" s="96" t="s">
        <v>164</v>
      </c>
      <c r="H82" s="114" t="s">
        <v>165</v>
      </c>
      <c r="I82" s="117"/>
      <c r="J82" s="70"/>
      <c r="K82" s="118"/>
      <c r="L82" s="69"/>
      <c r="M82" s="69"/>
      <c r="N82" s="69"/>
      <c r="O82" s="69"/>
      <c r="U82" s="69"/>
      <c r="V82" s="69"/>
      <c r="AR82" s="208"/>
    </row>
    <row r="83" spans="1:44">
      <c r="A83" s="119">
        <v>0.36</v>
      </c>
      <c r="B83" s="552">
        <v>0.8</v>
      </c>
      <c r="C83" s="553"/>
      <c r="D83" s="120">
        <f t="shared" ref="D83:D90" si="17">B83+1</f>
        <v>1.8</v>
      </c>
      <c r="E83" s="257"/>
      <c r="F83" s="121">
        <v>0.33</v>
      </c>
      <c r="G83" s="98">
        <v>0.75</v>
      </c>
      <c r="H83" s="122">
        <f t="shared" ref="H83:H91" si="18">G83+1</f>
        <v>1.75</v>
      </c>
      <c r="L83" s="69"/>
      <c r="M83" s="69"/>
      <c r="N83" s="45"/>
      <c r="O83" s="123"/>
      <c r="P83" s="88"/>
      <c r="Q83" s="45"/>
      <c r="R83" s="124"/>
      <c r="S83" s="123"/>
      <c r="T83" s="88"/>
      <c r="U83" s="69"/>
      <c r="V83" s="69"/>
      <c r="AR83" s="208"/>
    </row>
    <row r="84" spans="1:44">
      <c r="A84" s="119">
        <v>0.48</v>
      </c>
      <c r="B84" s="552">
        <v>1.1000000000000001</v>
      </c>
      <c r="C84" s="553"/>
      <c r="D84" s="120">
        <f t="shared" si="17"/>
        <v>2.1</v>
      </c>
      <c r="E84" s="257"/>
      <c r="F84" s="121">
        <v>0.44</v>
      </c>
      <c r="G84" s="98">
        <v>1.05</v>
      </c>
      <c r="H84" s="122">
        <f t="shared" si="18"/>
        <v>2.0499999999999998</v>
      </c>
      <c r="L84" s="69"/>
      <c r="M84" s="69"/>
      <c r="N84" s="125"/>
      <c r="O84" s="125"/>
      <c r="P84" s="125"/>
      <c r="Q84" s="126"/>
      <c r="R84" s="126"/>
      <c r="S84" s="126"/>
      <c r="T84" s="126"/>
      <c r="U84" s="69"/>
      <c r="V84" s="69"/>
      <c r="AR84" s="208"/>
    </row>
    <row r="85" spans="1:44">
      <c r="A85" s="119">
        <v>0.72</v>
      </c>
      <c r="B85" s="552">
        <v>1.3</v>
      </c>
      <c r="C85" s="553"/>
      <c r="D85" s="120">
        <f t="shared" si="17"/>
        <v>2.2999999999999998</v>
      </c>
      <c r="E85" s="257"/>
      <c r="F85" s="121">
        <v>0.64</v>
      </c>
      <c r="G85" s="98">
        <v>1.25</v>
      </c>
      <c r="H85" s="122">
        <f t="shared" si="18"/>
        <v>2.25</v>
      </c>
      <c r="L85" s="69"/>
      <c r="M85" s="69"/>
      <c r="N85" s="69"/>
      <c r="O85" s="69"/>
      <c r="U85" s="69"/>
      <c r="V85" s="69"/>
      <c r="AR85" s="208"/>
    </row>
    <row r="86" spans="1:44">
      <c r="A86" s="119">
        <v>0.95</v>
      </c>
      <c r="B86" s="552">
        <v>1.8</v>
      </c>
      <c r="C86" s="553"/>
      <c r="D86" s="120">
        <f t="shared" si="17"/>
        <v>2.8</v>
      </c>
      <c r="E86" s="257"/>
      <c r="F86" s="121">
        <v>0.74</v>
      </c>
      <c r="G86" s="98">
        <v>1.55</v>
      </c>
      <c r="H86" s="122">
        <f t="shared" si="18"/>
        <v>2.5499999999999998</v>
      </c>
      <c r="L86" s="69"/>
      <c r="M86" s="69"/>
      <c r="N86" s="123"/>
      <c r="O86" s="69"/>
      <c r="P86" s="69"/>
    </row>
    <row r="87" spans="1:44">
      <c r="A87" s="127">
        <v>1.2</v>
      </c>
      <c r="B87" s="552">
        <v>2</v>
      </c>
      <c r="C87" s="553"/>
      <c r="D87" s="120">
        <f t="shared" si="17"/>
        <v>3</v>
      </c>
      <c r="E87" s="257"/>
      <c r="F87" s="121">
        <v>0.84</v>
      </c>
      <c r="G87" s="98">
        <v>1.65</v>
      </c>
      <c r="H87" s="122">
        <f t="shared" si="18"/>
        <v>2.65</v>
      </c>
      <c r="L87" s="69"/>
      <c r="M87" s="69"/>
      <c r="N87" s="88"/>
    </row>
    <row r="88" spans="1:44">
      <c r="A88" s="119">
        <v>1.4</v>
      </c>
      <c r="B88" s="552">
        <v>2.5</v>
      </c>
      <c r="C88" s="553"/>
      <c r="D88" s="120">
        <f t="shared" si="17"/>
        <v>3.5</v>
      </c>
      <c r="E88" s="257"/>
      <c r="F88" s="121">
        <v>0.94</v>
      </c>
      <c r="G88" s="98">
        <v>1.75</v>
      </c>
      <c r="H88" s="122">
        <f t="shared" si="18"/>
        <v>2.75</v>
      </c>
      <c r="L88" s="69"/>
      <c r="M88" s="69"/>
      <c r="N88" s="126"/>
    </row>
    <row r="89" spans="1:44">
      <c r="A89" s="127">
        <v>1.75</v>
      </c>
      <c r="B89" s="552">
        <v>2.8</v>
      </c>
      <c r="C89" s="553"/>
      <c r="D89" s="120">
        <f t="shared" si="17"/>
        <v>3.8</v>
      </c>
      <c r="E89" s="257"/>
      <c r="F89" s="121">
        <v>1.05</v>
      </c>
      <c r="G89" s="98">
        <v>2.0499999999999998</v>
      </c>
      <c r="H89" s="122">
        <f t="shared" si="18"/>
        <v>3.05</v>
      </c>
      <c r="L89" s="69"/>
      <c r="M89" s="69"/>
      <c r="N89" s="69"/>
      <c r="AP89" s="256"/>
    </row>
    <row r="90" spans="1:44">
      <c r="A90" s="128">
        <v>2.36</v>
      </c>
      <c r="B90" s="547">
        <v>3.15</v>
      </c>
      <c r="C90" s="549"/>
      <c r="D90" s="120">
        <f t="shared" si="17"/>
        <v>4.1500000000000004</v>
      </c>
      <c r="E90" s="257"/>
      <c r="F90" s="129">
        <v>1.25</v>
      </c>
      <c r="G90" s="129">
        <v>2.25</v>
      </c>
      <c r="H90" s="122">
        <f t="shared" si="18"/>
        <v>3.25</v>
      </c>
      <c r="L90" s="69"/>
      <c r="M90" s="69"/>
    </row>
    <row r="91" spans="1:44">
      <c r="A91" s="128"/>
      <c r="B91" s="558"/>
      <c r="C91" s="559"/>
      <c r="D91" s="120"/>
      <c r="E91" s="257"/>
      <c r="F91" s="129">
        <v>1.55</v>
      </c>
      <c r="G91" s="130">
        <v>2.5499999999999998</v>
      </c>
      <c r="H91" s="122">
        <f t="shared" si="18"/>
        <v>3.55</v>
      </c>
      <c r="L91" s="69"/>
      <c r="M91" s="69"/>
      <c r="N91" s="69"/>
    </row>
    <row r="92" spans="1:44">
      <c r="G92" s="69"/>
      <c r="L92" s="69"/>
      <c r="M92" s="69"/>
      <c r="N92" s="123"/>
    </row>
    <row r="93" spans="1:44">
      <c r="A93" s="551" t="s">
        <v>167</v>
      </c>
      <c r="B93" s="551"/>
      <c r="C93" s="551"/>
      <c r="D93" s="551"/>
      <c r="E93" s="551"/>
      <c r="F93" s="551"/>
      <c r="G93" s="551"/>
      <c r="H93" s="551"/>
      <c r="I93" s="551"/>
      <c r="L93" s="69"/>
      <c r="M93" s="69"/>
      <c r="N93" s="88"/>
      <c r="O93" s="69"/>
      <c r="P93" s="69"/>
      <c r="Q93" s="69"/>
      <c r="R93" s="131"/>
      <c r="S93" s="126"/>
      <c r="T93" s="69"/>
      <c r="U93" s="69"/>
      <c r="V93" s="69"/>
    </row>
    <row r="94" spans="1:44" ht="38.25">
      <c r="A94" s="103" t="s">
        <v>168</v>
      </c>
      <c r="B94" s="550" t="s">
        <v>169</v>
      </c>
      <c r="C94" s="550"/>
      <c r="D94" s="129" t="s">
        <v>170</v>
      </c>
      <c r="E94" s="132" t="s">
        <v>171</v>
      </c>
      <c r="F94" s="133" t="s">
        <v>172</v>
      </c>
      <c r="G94" s="134" t="s">
        <v>173</v>
      </c>
      <c r="H94" s="134" t="s">
        <v>174</v>
      </c>
      <c r="I94" s="133" t="s">
        <v>175</v>
      </c>
      <c r="L94" s="69"/>
      <c r="M94" s="69"/>
      <c r="N94" s="126"/>
      <c r="O94" s="69"/>
      <c r="P94" s="69"/>
      <c r="Q94" s="69"/>
      <c r="R94" s="131"/>
      <c r="S94" s="126"/>
      <c r="T94" s="69"/>
      <c r="U94" s="69"/>
      <c r="V94" s="69"/>
    </row>
    <row r="95" spans="1:44">
      <c r="A95" s="103">
        <v>0.36</v>
      </c>
      <c r="B95" s="547">
        <v>0.8</v>
      </c>
      <c r="C95" s="549"/>
      <c r="D95" s="129">
        <v>1.1000000000000001</v>
      </c>
      <c r="E95" s="132">
        <v>1.21</v>
      </c>
      <c r="F95" s="133">
        <v>0.7</v>
      </c>
      <c r="G95" s="135">
        <f>((B95+2)*(D95+2))</f>
        <v>8.68</v>
      </c>
      <c r="H95" s="130">
        <f t="shared" ref="H95:H101" si="19">G95-((I95+0.6)*D83)</f>
        <v>3.0999999999999996</v>
      </c>
      <c r="I95" s="136">
        <f>D95+1.4</f>
        <v>2.5</v>
      </c>
      <c r="L95" s="69"/>
      <c r="M95" s="69"/>
      <c r="N95" s="126"/>
      <c r="O95" s="69"/>
      <c r="P95" s="69"/>
      <c r="Q95" s="69"/>
      <c r="R95" s="131"/>
      <c r="S95" s="126"/>
      <c r="T95" s="69"/>
      <c r="U95" s="69"/>
      <c r="V95" s="69"/>
    </row>
    <row r="96" spans="1:44">
      <c r="A96" s="137">
        <v>0.48</v>
      </c>
      <c r="B96" s="546">
        <v>1.1000000000000001</v>
      </c>
      <c r="C96" s="546"/>
      <c r="D96" s="138">
        <v>1.1000000000000001</v>
      </c>
      <c r="E96" s="139">
        <f>B96*D96</f>
        <v>1.2100000000000002</v>
      </c>
      <c r="F96" s="129">
        <v>0.7</v>
      </c>
      <c r="G96" s="135">
        <f>((B96+2)*(D96+2))</f>
        <v>9.6100000000000012</v>
      </c>
      <c r="H96" s="130">
        <f t="shared" si="19"/>
        <v>3.1000000000000005</v>
      </c>
      <c r="I96" s="136">
        <f>D96+1.4</f>
        <v>2.5</v>
      </c>
      <c r="L96" s="69"/>
      <c r="M96" s="69"/>
      <c r="N96" s="69"/>
      <c r="O96" s="69"/>
      <c r="P96" s="69"/>
      <c r="Q96" s="69"/>
      <c r="R96" s="131"/>
      <c r="S96" s="126"/>
      <c r="T96" s="69"/>
    </row>
    <row r="97" spans="1:24">
      <c r="A97" s="137">
        <v>0.72</v>
      </c>
      <c r="B97" s="546">
        <v>1.4</v>
      </c>
      <c r="C97" s="546"/>
      <c r="D97" s="138">
        <v>1.4</v>
      </c>
      <c r="E97" s="139">
        <f t="shared" ref="E97:E101" si="20">B97*D97</f>
        <v>1.9599999999999997</v>
      </c>
      <c r="F97" s="140">
        <v>1</v>
      </c>
      <c r="G97" s="135">
        <f t="shared" ref="G97:G101" si="21">((B97+2)*(D97+2))</f>
        <v>11.559999999999999</v>
      </c>
      <c r="H97" s="130">
        <f t="shared" si="19"/>
        <v>3.7399999999999993</v>
      </c>
      <c r="I97" s="136">
        <f t="shared" ref="I97:I100" si="22">D97+1.4</f>
        <v>2.8</v>
      </c>
      <c r="L97" s="69"/>
      <c r="M97" s="69"/>
      <c r="N97" s="45"/>
      <c r="O97" s="123"/>
      <c r="P97" s="88"/>
      <c r="Q97" s="45"/>
      <c r="R97" s="124"/>
      <c r="S97" s="123"/>
      <c r="T97" s="88"/>
    </row>
    <row r="98" spans="1:24">
      <c r="A98" s="137">
        <v>0.95</v>
      </c>
      <c r="B98" s="546">
        <v>1.6</v>
      </c>
      <c r="C98" s="546"/>
      <c r="D98" s="138">
        <v>1.5</v>
      </c>
      <c r="E98" s="139">
        <f t="shared" si="20"/>
        <v>2.4000000000000004</v>
      </c>
      <c r="F98" s="129">
        <v>1.2</v>
      </c>
      <c r="G98" s="135">
        <f t="shared" si="21"/>
        <v>12.6</v>
      </c>
      <c r="H98" s="130">
        <f t="shared" si="19"/>
        <v>2.8000000000000007</v>
      </c>
      <c r="I98" s="136">
        <f t="shared" si="22"/>
        <v>2.9</v>
      </c>
      <c r="K98" s="69"/>
      <c r="L98" s="69"/>
      <c r="M98" s="69"/>
      <c r="N98" s="125"/>
      <c r="O98" s="125"/>
      <c r="P98" s="125"/>
      <c r="Q98" s="126"/>
      <c r="R98" s="126"/>
      <c r="S98" s="126"/>
      <c r="T98" s="126"/>
      <c r="U98" s="69"/>
      <c r="V98" s="69"/>
    </row>
    <row r="99" spans="1:24">
      <c r="A99" s="137">
        <v>1.2</v>
      </c>
      <c r="B99" s="546">
        <v>1.8</v>
      </c>
      <c r="C99" s="546"/>
      <c r="D99" s="138">
        <v>1.5</v>
      </c>
      <c r="E99" s="139">
        <f t="shared" si="20"/>
        <v>2.7</v>
      </c>
      <c r="F99" s="129">
        <v>1.4</v>
      </c>
      <c r="G99" s="135">
        <f t="shared" si="21"/>
        <v>13.299999999999999</v>
      </c>
      <c r="H99" s="130">
        <f t="shared" si="19"/>
        <v>2.7999999999999989</v>
      </c>
      <c r="I99" s="136">
        <f t="shared" si="22"/>
        <v>2.9</v>
      </c>
      <c r="M99" s="258"/>
      <c r="O99" s="69"/>
      <c r="P99" s="69"/>
      <c r="Q99" s="69"/>
      <c r="R99" s="69"/>
      <c r="S99" s="69"/>
      <c r="T99" s="69"/>
      <c r="U99" s="69"/>
      <c r="V99" s="69"/>
    </row>
    <row r="100" spans="1:24">
      <c r="A100" s="137">
        <v>1.4</v>
      </c>
      <c r="B100" s="546">
        <v>2.2000000000000002</v>
      </c>
      <c r="C100" s="546"/>
      <c r="D100" s="138">
        <v>1.8</v>
      </c>
      <c r="E100" s="139">
        <f t="shared" si="20"/>
        <v>3.9600000000000004</v>
      </c>
      <c r="F100" s="129">
        <v>1.6</v>
      </c>
      <c r="G100" s="135">
        <f t="shared" si="21"/>
        <v>15.959999999999999</v>
      </c>
      <c r="H100" s="130">
        <f t="shared" si="19"/>
        <v>2.6599999999999984</v>
      </c>
      <c r="I100" s="136">
        <f t="shared" si="22"/>
        <v>3.2</v>
      </c>
      <c r="M100" s="141"/>
      <c r="W100" s="259"/>
    </row>
    <row r="101" spans="1:24">
      <c r="A101" s="137">
        <v>1.75</v>
      </c>
      <c r="B101" s="546">
        <v>2.5499999999999998</v>
      </c>
      <c r="C101" s="546"/>
      <c r="D101" s="138">
        <v>2</v>
      </c>
      <c r="E101" s="139">
        <f t="shared" si="20"/>
        <v>5.0999999999999996</v>
      </c>
      <c r="F101" s="129">
        <v>2</v>
      </c>
      <c r="G101" s="135">
        <f t="shared" si="21"/>
        <v>18.2</v>
      </c>
      <c r="H101" s="130">
        <f t="shared" si="19"/>
        <v>3</v>
      </c>
      <c r="I101" s="136">
        <f>D101+1.4</f>
        <v>3.4</v>
      </c>
      <c r="M101" s="49"/>
      <c r="O101" s="260" t="s">
        <v>176</v>
      </c>
      <c r="W101" s="142"/>
    </row>
    <row r="102" spans="1:24">
      <c r="G102" s="143"/>
      <c r="M102" s="49"/>
      <c r="O102" s="261" t="s">
        <v>177</v>
      </c>
      <c r="P102" s="69"/>
      <c r="Q102" s="69"/>
      <c r="R102" s="69"/>
      <c r="S102" s="69"/>
      <c r="T102" s="69"/>
      <c r="U102" s="69"/>
      <c r="V102" s="69"/>
    </row>
    <row r="103" spans="1:24">
      <c r="M103" s="49"/>
      <c r="Q103" s="557"/>
      <c r="R103" s="555"/>
      <c r="S103" s="557"/>
      <c r="T103" s="555"/>
      <c r="U103" s="69"/>
      <c r="V103" s="69"/>
    </row>
    <row r="104" spans="1:24">
      <c r="A104" s="551" t="s">
        <v>178</v>
      </c>
      <c r="B104" s="551"/>
      <c r="C104" s="551"/>
      <c r="D104" s="551"/>
      <c r="E104" s="551"/>
      <c r="F104" s="551"/>
      <c r="G104" s="551"/>
      <c r="H104" s="551"/>
      <c r="I104" s="551"/>
      <c r="M104" s="49"/>
      <c r="Q104" s="555"/>
      <c r="R104" s="555"/>
      <c r="S104" s="555"/>
      <c r="T104" s="555"/>
      <c r="U104" s="69"/>
      <c r="V104" s="69"/>
    </row>
    <row r="105" spans="1:24" ht="51">
      <c r="A105" s="103" t="s">
        <v>168</v>
      </c>
      <c r="B105" s="550" t="s">
        <v>169</v>
      </c>
      <c r="C105" s="550"/>
      <c r="D105" s="129" t="s">
        <v>170</v>
      </c>
      <c r="E105" s="132" t="s">
        <v>179</v>
      </c>
      <c r="F105" s="134" t="s">
        <v>173</v>
      </c>
      <c r="G105" s="134" t="s">
        <v>180</v>
      </c>
      <c r="H105" s="133" t="s">
        <v>175</v>
      </c>
      <c r="I105" s="144" t="s">
        <v>181</v>
      </c>
      <c r="M105" s="49"/>
      <c r="Q105" s="554"/>
      <c r="R105" s="555"/>
      <c r="S105" s="556"/>
      <c r="T105" s="556"/>
      <c r="U105" s="69"/>
      <c r="V105" s="69"/>
    </row>
    <row r="106" spans="1:24">
      <c r="A106" s="103">
        <v>0.36</v>
      </c>
      <c r="B106" s="547">
        <v>0.8</v>
      </c>
      <c r="C106" s="549"/>
      <c r="D106" s="129">
        <v>1.1000000000000001</v>
      </c>
      <c r="E106" s="132">
        <v>1.21</v>
      </c>
      <c r="F106" s="135">
        <f>((B106+2)*(D106+2))</f>
        <v>8.68</v>
      </c>
      <c r="G106" s="130">
        <f t="shared" ref="G106:G112" si="23">F106-((H106+0.6)*D83)</f>
        <v>3.0999999999999996</v>
      </c>
      <c r="H106" s="136">
        <f>D106+1.4</f>
        <v>2.5</v>
      </c>
      <c r="I106" s="139">
        <f>(B106+1.4)*(D106+1.4)</f>
        <v>5.5</v>
      </c>
      <c r="M106" s="49"/>
      <c r="Q106" s="145"/>
      <c r="R106" s="131"/>
      <c r="S106" s="146"/>
      <c r="T106" s="146"/>
      <c r="U106" s="69"/>
      <c r="V106" s="69"/>
    </row>
    <row r="107" spans="1:24">
      <c r="A107" s="147">
        <v>0.48</v>
      </c>
      <c r="B107" s="546">
        <v>1.1000000000000001</v>
      </c>
      <c r="C107" s="546"/>
      <c r="D107" s="138">
        <v>1.1000000000000001</v>
      </c>
      <c r="E107" s="139">
        <f t="shared" ref="E107:E112" si="24">B107*D107</f>
        <v>1.2100000000000002</v>
      </c>
      <c r="F107" s="135">
        <f>((B107+2)*(D107+2))</f>
        <v>9.6100000000000012</v>
      </c>
      <c r="G107" s="130">
        <f t="shared" si="23"/>
        <v>3.1000000000000005</v>
      </c>
      <c r="H107" s="136">
        <f>D107+1.4</f>
        <v>2.5</v>
      </c>
      <c r="I107" s="139">
        <f>(B107+1.4)*(D107+1.4)</f>
        <v>6.25</v>
      </c>
      <c r="M107" s="49"/>
      <c r="O107" s="69"/>
      <c r="P107" s="69"/>
      <c r="Q107" s="69"/>
      <c r="R107" s="69"/>
      <c r="S107" s="69"/>
      <c r="T107" s="69"/>
      <c r="U107" s="69"/>
      <c r="V107" s="69"/>
    </row>
    <row r="108" spans="1:24">
      <c r="A108" s="147">
        <v>0.72</v>
      </c>
      <c r="B108" s="546">
        <v>1.4</v>
      </c>
      <c r="C108" s="546"/>
      <c r="D108" s="138">
        <v>1.4</v>
      </c>
      <c r="E108" s="139">
        <f t="shared" si="24"/>
        <v>1.9599999999999997</v>
      </c>
      <c r="F108" s="135">
        <f t="shared" ref="F108:F112" si="25">((B108+2)*(D108+2))</f>
        <v>11.559999999999999</v>
      </c>
      <c r="G108" s="130">
        <f t="shared" si="23"/>
        <v>3.7399999999999993</v>
      </c>
      <c r="H108" s="136">
        <f t="shared" ref="H108:H112" si="26">D108+1.4</f>
        <v>2.8</v>
      </c>
      <c r="I108" s="139">
        <f t="shared" ref="I108:I111" si="27">(B108+1.4)*(D108+1.4)</f>
        <v>7.839999999999999</v>
      </c>
      <c r="M108" s="146"/>
      <c r="O108" s="69"/>
      <c r="P108" s="69"/>
      <c r="Q108" s="69"/>
      <c r="R108" s="69"/>
      <c r="S108" s="69"/>
      <c r="T108" s="69"/>
      <c r="U108" s="69"/>
      <c r="V108" s="69"/>
    </row>
    <row r="109" spans="1:24">
      <c r="A109" s="147">
        <v>0.95</v>
      </c>
      <c r="B109" s="546">
        <v>1.6</v>
      </c>
      <c r="C109" s="546"/>
      <c r="D109" s="138">
        <v>1.5</v>
      </c>
      <c r="E109" s="139">
        <f t="shared" si="24"/>
        <v>2.4000000000000004</v>
      </c>
      <c r="F109" s="135">
        <f t="shared" si="25"/>
        <v>12.6</v>
      </c>
      <c r="G109" s="130">
        <f t="shared" si="23"/>
        <v>2.8000000000000007</v>
      </c>
      <c r="H109" s="136">
        <f t="shared" si="26"/>
        <v>2.9</v>
      </c>
      <c r="I109" s="139">
        <f t="shared" si="27"/>
        <v>8.6999999999999993</v>
      </c>
      <c r="L109" s="69"/>
      <c r="M109" s="69"/>
      <c r="O109" s="69"/>
      <c r="P109" s="69"/>
      <c r="Q109" s="69"/>
      <c r="R109" s="69"/>
      <c r="S109" s="69"/>
      <c r="T109" s="69"/>
      <c r="U109" s="69"/>
      <c r="V109" s="69"/>
    </row>
    <row r="110" spans="1:24">
      <c r="A110" s="147">
        <v>1.2</v>
      </c>
      <c r="B110" s="546">
        <v>1.8</v>
      </c>
      <c r="C110" s="546"/>
      <c r="D110" s="138">
        <v>1.5</v>
      </c>
      <c r="E110" s="139">
        <f t="shared" si="24"/>
        <v>2.7</v>
      </c>
      <c r="F110" s="135">
        <f t="shared" si="25"/>
        <v>13.299999999999999</v>
      </c>
      <c r="G110" s="130">
        <f t="shared" si="23"/>
        <v>2.7999999999999989</v>
      </c>
      <c r="H110" s="136">
        <f t="shared" si="26"/>
        <v>2.9</v>
      </c>
      <c r="I110" s="139">
        <f t="shared" si="27"/>
        <v>9.2799999999999994</v>
      </c>
      <c r="L110" s="102"/>
      <c r="M110" s="102"/>
      <c r="O110" s="102"/>
      <c r="P110" s="69"/>
      <c r="R110" s="262"/>
      <c r="S110" s="262"/>
      <c r="T110" s="262"/>
      <c r="U110" s="262"/>
      <c r="V110" s="262"/>
      <c r="W110" s="262"/>
      <c r="X110" s="262"/>
    </row>
    <row r="111" spans="1:24">
      <c r="A111" s="147">
        <v>1.4</v>
      </c>
      <c r="B111" s="546">
        <v>2.2000000000000002</v>
      </c>
      <c r="C111" s="546"/>
      <c r="D111" s="138">
        <v>1.8</v>
      </c>
      <c r="E111" s="139">
        <f t="shared" si="24"/>
        <v>3.9600000000000004</v>
      </c>
      <c r="F111" s="135">
        <f t="shared" si="25"/>
        <v>15.959999999999999</v>
      </c>
      <c r="G111" s="130">
        <f t="shared" si="23"/>
        <v>2.6599999999999984</v>
      </c>
      <c r="H111" s="136">
        <f t="shared" si="26"/>
        <v>3.2</v>
      </c>
      <c r="I111" s="139">
        <f t="shared" si="27"/>
        <v>11.520000000000001</v>
      </c>
      <c r="L111" s="141"/>
      <c r="M111" s="141"/>
      <c r="R111" s="88"/>
      <c r="S111" s="88"/>
      <c r="T111" s="88"/>
    </row>
    <row r="112" spans="1:24">
      <c r="A112" s="147">
        <v>1.75</v>
      </c>
      <c r="B112" s="546">
        <v>2.5499999999999998</v>
      </c>
      <c r="C112" s="546"/>
      <c r="D112" s="138">
        <v>2</v>
      </c>
      <c r="E112" s="139">
        <f t="shared" si="24"/>
        <v>5.0999999999999996</v>
      </c>
      <c r="F112" s="135">
        <f t="shared" si="25"/>
        <v>18.2</v>
      </c>
      <c r="G112" s="130">
        <f t="shared" si="23"/>
        <v>3</v>
      </c>
      <c r="H112" s="136">
        <f t="shared" si="26"/>
        <v>3.4</v>
      </c>
      <c r="I112" s="139">
        <f>(B112+1.4)*(D112+1.4)</f>
        <v>13.429999999999998</v>
      </c>
      <c r="L112" s="126"/>
      <c r="M112" s="126"/>
      <c r="R112" s="126"/>
      <c r="S112" s="126"/>
      <c r="T112" s="126"/>
    </row>
    <row r="113" spans="1:27">
      <c r="L113" s="126"/>
      <c r="M113" s="126"/>
      <c r="R113" s="126"/>
      <c r="S113" s="126"/>
      <c r="T113" s="126"/>
    </row>
    <row r="114" spans="1:27">
      <c r="A114" s="547" t="s">
        <v>182</v>
      </c>
      <c r="B114" s="548"/>
      <c r="C114" s="548"/>
      <c r="D114" s="548"/>
      <c r="E114" s="548"/>
      <c r="F114" s="548"/>
      <c r="G114" s="548"/>
      <c r="H114" s="549"/>
      <c r="L114" s="126"/>
      <c r="M114" s="126"/>
      <c r="R114" s="126"/>
      <c r="S114" s="126"/>
      <c r="T114" s="126"/>
      <c r="Y114" s="262"/>
      <c r="Z114" s="262"/>
      <c r="AA114" s="102"/>
    </row>
    <row r="115" spans="1:27">
      <c r="A115" s="148" t="s">
        <v>183</v>
      </c>
      <c r="B115" s="149" t="s">
        <v>184</v>
      </c>
      <c r="C115" s="103" t="s">
        <v>185</v>
      </c>
      <c r="D115" s="148" t="s">
        <v>186</v>
      </c>
      <c r="E115" s="103" t="s">
        <v>187</v>
      </c>
      <c r="F115" s="103" t="s">
        <v>188</v>
      </c>
      <c r="G115" s="547" t="s">
        <v>189</v>
      </c>
      <c r="H115" s="549"/>
      <c r="L115" s="126"/>
      <c r="M115" s="126"/>
      <c r="R115" s="126"/>
      <c r="S115" s="126"/>
      <c r="T115" s="126"/>
    </row>
    <row r="116" spans="1:27">
      <c r="A116" s="129">
        <v>0.36</v>
      </c>
      <c r="B116" s="130">
        <f>B83</f>
        <v>0.8</v>
      </c>
      <c r="C116" s="150">
        <v>1.1000000000000001</v>
      </c>
      <c r="D116" s="140">
        <v>1</v>
      </c>
      <c r="E116" s="263">
        <f>B116*C116*D116</f>
        <v>0.88000000000000012</v>
      </c>
      <c r="F116" s="137">
        <f>E116-H78*D116</f>
        <v>0.77821216000000015</v>
      </c>
      <c r="G116" s="541">
        <f>(B116+1)*D116</f>
        <v>1.8</v>
      </c>
      <c r="H116" s="542"/>
      <c r="L116" s="126"/>
      <c r="M116" s="126"/>
      <c r="O116" s="49"/>
      <c r="P116" s="49"/>
      <c r="R116" s="126"/>
      <c r="S116" s="126"/>
      <c r="T116" s="126"/>
    </row>
    <row r="117" spans="1:27">
      <c r="B117" s="88"/>
      <c r="C117" s="88"/>
      <c r="D117" s="88"/>
      <c r="E117" s="69"/>
      <c r="F117" s="69"/>
      <c r="G117" s="69"/>
      <c r="H117" s="69"/>
      <c r="L117" s="126"/>
      <c r="M117" s="126"/>
      <c r="O117" s="69"/>
      <c r="P117" s="69"/>
      <c r="R117" s="126"/>
      <c r="S117" s="126"/>
      <c r="T117" s="126"/>
    </row>
    <row r="118" spans="1:27">
      <c r="A118" s="543" t="s">
        <v>190</v>
      </c>
      <c r="B118" s="544"/>
      <c r="C118" s="544"/>
      <c r="D118" s="544"/>
      <c r="E118" s="544"/>
      <c r="F118" s="544"/>
      <c r="G118" s="545"/>
      <c r="L118" s="69"/>
      <c r="M118" s="69"/>
      <c r="O118" s="69"/>
      <c r="P118" s="69"/>
      <c r="Q118" s="69"/>
      <c r="R118" s="69"/>
      <c r="S118" s="69"/>
      <c r="T118" s="69"/>
      <c r="U118" s="69"/>
      <c r="V118" s="69"/>
      <c r="W118" s="69"/>
      <c r="X118" s="151"/>
    </row>
    <row r="119" spans="1:27">
      <c r="A119" s="129" t="s">
        <v>191</v>
      </c>
      <c r="B119" s="129" t="s">
        <v>192</v>
      </c>
      <c r="C119" s="103" t="s">
        <v>193</v>
      </c>
      <c r="D119" s="129" t="s">
        <v>187</v>
      </c>
      <c r="E119" s="96" t="s">
        <v>188</v>
      </c>
      <c r="F119" s="103" t="s">
        <v>189</v>
      </c>
      <c r="G119" s="264"/>
      <c r="I119" s="69"/>
      <c r="J119" s="69"/>
      <c r="K119" s="69"/>
      <c r="L119" s="69"/>
      <c r="M119" s="69"/>
      <c r="O119" s="69"/>
      <c r="P119" s="69"/>
      <c r="Q119" s="69"/>
      <c r="R119" s="69"/>
      <c r="S119" s="69"/>
      <c r="T119" s="69"/>
      <c r="U119" s="69"/>
      <c r="V119" s="69"/>
    </row>
    <row r="120" spans="1:27">
      <c r="A120" s="96">
        <v>1.2</v>
      </c>
      <c r="B120" s="96">
        <v>0.7</v>
      </c>
      <c r="C120" s="103">
        <v>1.2</v>
      </c>
      <c r="D120" s="152">
        <f>A120*B120*C120</f>
        <v>1.008</v>
      </c>
      <c r="E120" s="152">
        <f>D120-(0.6*1*C120)</f>
        <v>0.28800000000000003</v>
      </c>
      <c r="F120" s="153">
        <f>A120*B120-(0.4*0.9)</f>
        <v>0.47999999999999993</v>
      </c>
      <c r="G120" s="265"/>
      <c r="I120" s="69"/>
      <c r="J120" s="69"/>
      <c r="K120" s="69"/>
      <c r="L120" s="69"/>
      <c r="M120" s="69"/>
      <c r="O120" s="69"/>
      <c r="P120" s="69"/>
      <c r="Q120" s="69"/>
      <c r="R120" s="69"/>
      <c r="S120" s="69"/>
      <c r="T120" s="69"/>
      <c r="U120" s="69"/>
      <c r="V120" s="69"/>
    </row>
    <row r="121" spans="1:27">
      <c r="B121" s="88"/>
      <c r="C121" s="88"/>
      <c r="D121" s="88"/>
      <c r="E121" s="69"/>
      <c r="F121" s="69"/>
      <c r="G121" s="69"/>
      <c r="H121" s="69"/>
      <c r="L121" s="126"/>
      <c r="M121" s="126"/>
      <c r="O121" s="69"/>
      <c r="P121" s="69"/>
      <c r="R121" s="126"/>
      <c r="S121" s="126"/>
      <c r="T121" s="126"/>
    </row>
    <row r="122" spans="1:27">
      <c r="A122" s="88"/>
      <c r="B122" s="88"/>
      <c r="C122" s="88"/>
      <c r="D122" s="88"/>
      <c r="E122" s="88"/>
      <c r="F122" s="88"/>
      <c r="G122" s="88"/>
      <c r="L122" s="69"/>
      <c r="M122" s="69"/>
      <c r="O122" s="69"/>
      <c r="P122" s="69"/>
      <c r="Q122" s="69"/>
      <c r="R122" s="69"/>
      <c r="S122" s="69"/>
      <c r="T122" s="69"/>
      <c r="U122" s="69"/>
      <c r="V122" s="69"/>
      <c r="W122" s="69"/>
      <c r="X122" s="151"/>
      <c r="Y122" s="151"/>
      <c r="Z122" s="151"/>
      <c r="AA122" s="154"/>
    </row>
    <row r="123" spans="1:27">
      <c r="A123" s="131"/>
      <c r="B123" s="131"/>
      <c r="C123" s="88"/>
      <c r="D123" s="131"/>
      <c r="E123" s="69"/>
      <c r="F123" s="88"/>
      <c r="I123" s="69"/>
      <c r="J123" s="69"/>
      <c r="K123" s="69"/>
      <c r="L123" s="69"/>
      <c r="M123" s="69"/>
      <c r="O123" s="69"/>
      <c r="P123" s="69"/>
      <c r="Q123" s="69"/>
      <c r="R123" s="69"/>
      <c r="S123" s="69"/>
      <c r="T123" s="69"/>
      <c r="U123" s="69"/>
      <c r="V123" s="69"/>
    </row>
    <row r="124" spans="1:27">
      <c r="A124" s="69"/>
      <c r="B124" s="69"/>
      <c r="C124" s="88"/>
      <c r="D124" s="155"/>
      <c r="E124" s="155"/>
      <c r="F124" s="102"/>
      <c r="I124" s="69"/>
      <c r="J124" s="69"/>
      <c r="K124" s="69"/>
      <c r="L124" s="69"/>
      <c r="M124" s="69"/>
      <c r="O124" s="69"/>
      <c r="P124" s="69"/>
      <c r="Q124" s="69"/>
      <c r="R124" s="69"/>
      <c r="S124" s="69"/>
      <c r="T124" s="69"/>
      <c r="U124" s="69"/>
      <c r="V124" s="69"/>
    </row>
    <row r="126" spans="1:27">
      <c r="Y126" s="151"/>
      <c r="Z126" s="151"/>
      <c r="AA126" s="154"/>
    </row>
  </sheetData>
  <mergeCells count="252">
    <mergeCell ref="L2:P3"/>
    <mergeCell ref="R2:W3"/>
    <mergeCell ref="R4:W5"/>
    <mergeCell ref="A5:J5"/>
    <mergeCell ref="A7:A12"/>
    <mergeCell ref="B7:C10"/>
    <mergeCell ref="D7:D12"/>
    <mergeCell ref="E7:E12"/>
    <mergeCell ref="F7:F10"/>
    <mergeCell ref="B11:C12"/>
    <mergeCell ref="F11:F12"/>
    <mergeCell ref="G11:G12"/>
    <mergeCell ref="L11:L12"/>
    <mergeCell ref="Q11:Q12"/>
    <mergeCell ref="M7:M12"/>
    <mergeCell ref="N7:N8"/>
    <mergeCell ref="O7:O12"/>
    <mergeCell ref="P7:P12"/>
    <mergeCell ref="Q7:Q10"/>
    <mergeCell ref="R7:R12"/>
    <mergeCell ref="G7:G10"/>
    <mergeCell ref="H7:H8"/>
    <mergeCell ref="I7:I8"/>
    <mergeCell ref="AU10:AU12"/>
    <mergeCell ref="AV10:AV12"/>
    <mergeCell ref="AW10:AW12"/>
    <mergeCell ref="AN11:AR11"/>
    <mergeCell ref="S7:T7"/>
    <mergeCell ref="U7:U12"/>
    <mergeCell ref="V7:V9"/>
    <mergeCell ref="W7:W12"/>
    <mergeCell ref="AC7:AC12"/>
    <mergeCell ref="AS7:AS12"/>
    <mergeCell ref="AJ11:AM11"/>
    <mergeCell ref="AT7:AT12"/>
    <mergeCell ref="S8:S12"/>
    <mergeCell ref="V10:V12"/>
    <mergeCell ref="J7:J8"/>
    <mergeCell ref="K7:K12"/>
    <mergeCell ref="L7:L10"/>
    <mergeCell ref="A13:A20"/>
    <mergeCell ref="B13:B14"/>
    <mergeCell ref="C13:C16"/>
    <mergeCell ref="D13:D16"/>
    <mergeCell ref="E13:E16"/>
    <mergeCell ref="F13:F14"/>
    <mergeCell ref="B17:B18"/>
    <mergeCell ref="C17:C20"/>
    <mergeCell ref="D17:D20"/>
    <mergeCell ref="E17:E20"/>
    <mergeCell ref="K17:K20"/>
    <mergeCell ref="L17:L18"/>
    <mergeCell ref="M17:M20"/>
    <mergeCell ref="O17:O20"/>
    <mergeCell ref="AS13:AS16"/>
    <mergeCell ref="AT13:AT16"/>
    <mergeCell ref="B15:B16"/>
    <mergeCell ref="F15:F16"/>
    <mergeCell ref="G15:G16"/>
    <mergeCell ref="L15:L16"/>
    <mergeCell ref="Q15:Q16"/>
    <mergeCell ref="V15:V16"/>
    <mergeCell ref="Q13:Q14"/>
    <mergeCell ref="R13:R16"/>
    <mergeCell ref="S13:S16"/>
    <mergeCell ref="U13:U16"/>
    <mergeCell ref="V13:V14"/>
    <mergeCell ref="W13:W16"/>
    <mergeCell ref="G13:G14"/>
    <mergeCell ref="K13:K16"/>
    <mergeCell ref="L13:L14"/>
    <mergeCell ref="M13:M16"/>
    <mergeCell ref="O13:O16"/>
    <mergeCell ref="P13:P16"/>
    <mergeCell ref="AT44:AT47"/>
    <mergeCell ref="AU44:AU47"/>
    <mergeCell ref="A49:W49"/>
    <mergeCell ref="B51:C51"/>
    <mergeCell ref="M51:N51"/>
    <mergeCell ref="O51:P51"/>
    <mergeCell ref="AA51:AE51"/>
    <mergeCell ref="W17:W20"/>
    <mergeCell ref="AS17:AS20"/>
    <mergeCell ref="AT17:AT20"/>
    <mergeCell ref="B19:B20"/>
    <mergeCell ref="F19:F20"/>
    <mergeCell ref="G19:G20"/>
    <mergeCell ref="L19:L20"/>
    <mergeCell ref="Q19:Q20"/>
    <mergeCell ref="V19:V20"/>
    <mergeCell ref="P17:P20"/>
    <mergeCell ref="Q17:Q18"/>
    <mergeCell ref="R17:R20"/>
    <mergeCell ref="S17:S20"/>
    <mergeCell ref="U17:U20"/>
    <mergeCell ref="V17:V18"/>
    <mergeCell ref="F17:F18"/>
    <mergeCell ref="G17:G18"/>
    <mergeCell ref="B52:C52"/>
    <mergeCell ref="M52:N52"/>
    <mergeCell ref="O52:P52"/>
    <mergeCell ref="AA52:AB53"/>
    <mergeCell ref="AC52:AC53"/>
    <mergeCell ref="AD52:AE52"/>
    <mergeCell ref="B53:C53"/>
    <mergeCell ref="M53:N53"/>
    <mergeCell ref="O53:P53"/>
    <mergeCell ref="B56:C56"/>
    <mergeCell ref="B57:C57"/>
    <mergeCell ref="L57:P57"/>
    <mergeCell ref="B58:C58"/>
    <mergeCell ref="B59:C59"/>
    <mergeCell ref="B61:F61"/>
    <mergeCell ref="B54:C54"/>
    <mergeCell ref="M54:N54"/>
    <mergeCell ref="O54:P54"/>
    <mergeCell ref="B55:C55"/>
    <mergeCell ref="M55:N55"/>
    <mergeCell ref="O55:P55"/>
    <mergeCell ref="L70:M70"/>
    <mergeCell ref="N70:O70"/>
    <mergeCell ref="K74:K77"/>
    <mergeCell ref="A75:C75"/>
    <mergeCell ref="A76:C76"/>
    <mergeCell ref="A77:C77"/>
    <mergeCell ref="B62:F62"/>
    <mergeCell ref="L62:O62"/>
    <mergeCell ref="L63:M67"/>
    <mergeCell ref="L68:M68"/>
    <mergeCell ref="L69:M69"/>
    <mergeCell ref="N69:O69"/>
    <mergeCell ref="B87:C87"/>
    <mergeCell ref="B88:C88"/>
    <mergeCell ref="B89:C89"/>
    <mergeCell ref="B90:C90"/>
    <mergeCell ref="B91:C91"/>
    <mergeCell ref="A81:D81"/>
    <mergeCell ref="F81:H81"/>
    <mergeCell ref="B82:C82"/>
    <mergeCell ref="B83:C83"/>
    <mergeCell ref="B84:C84"/>
    <mergeCell ref="B85:C85"/>
    <mergeCell ref="Q105:R105"/>
    <mergeCell ref="S105:T105"/>
    <mergeCell ref="B106:C106"/>
    <mergeCell ref="B107:C107"/>
    <mergeCell ref="B108:C108"/>
    <mergeCell ref="B99:C99"/>
    <mergeCell ref="B100:C100"/>
    <mergeCell ref="B101:C101"/>
    <mergeCell ref="Q103:R104"/>
    <mergeCell ref="S103:T104"/>
    <mergeCell ref="A104:I104"/>
    <mergeCell ref="G116:H116"/>
    <mergeCell ref="A118:G118"/>
    <mergeCell ref="A21:A28"/>
    <mergeCell ref="B21:B22"/>
    <mergeCell ref="C21:C24"/>
    <mergeCell ref="D21:D24"/>
    <mergeCell ref="E21:E24"/>
    <mergeCell ref="F21:F22"/>
    <mergeCell ref="G21:G22"/>
    <mergeCell ref="B25:B26"/>
    <mergeCell ref="B109:C109"/>
    <mergeCell ref="B110:C110"/>
    <mergeCell ref="B111:C111"/>
    <mergeCell ref="B112:C112"/>
    <mergeCell ref="A114:H114"/>
    <mergeCell ref="G115:H115"/>
    <mergeCell ref="B105:C105"/>
    <mergeCell ref="A93:I93"/>
    <mergeCell ref="B94:C94"/>
    <mergeCell ref="B95:C95"/>
    <mergeCell ref="B96:C96"/>
    <mergeCell ref="B97:C97"/>
    <mergeCell ref="B98:C98"/>
    <mergeCell ref="B86:C86"/>
    <mergeCell ref="R21:R24"/>
    <mergeCell ref="S21:S24"/>
    <mergeCell ref="U21:U24"/>
    <mergeCell ref="B23:B24"/>
    <mergeCell ref="F23:F24"/>
    <mergeCell ref="G23:G24"/>
    <mergeCell ref="L23:L24"/>
    <mergeCell ref="Q23:Q24"/>
    <mergeCell ref="K21:K24"/>
    <mergeCell ref="L21:L22"/>
    <mergeCell ref="M21:M24"/>
    <mergeCell ref="O21:O24"/>
    <mergeCell ref="P21:P24"/>
    <mergeCell ref="Q21:Q22"/>
    <mergeCell ref="S25:S28"/>
    <mergeCell ref="U25:U28"/>
    <mergeCell ref="B27:B28"/>
    <mergeCell ref="F27:F28"/>
    <mergeCell ref="G27:G28"/>
    <mergeCell ref="L27:L28"/>
    <mergeCell ref="Q27:Q28"/>
    <mergeCell ref="L25:L26"/>
    <mergeCell ref="M25:M28"/>
    <mergeCell ref="O25:O28"/>
    <mergeCell ref="P25:P28"/>
    <mergeCell ref="Q25:Q26"/>
    <mergeCell ref="R25:R28"/>
    <mergeCell ref="C25:C28"/>
    <mergeCell ref="D25:D28"/>
    <mergeCell ref="E25:E28"/>
    <mergeCell ref="F25:F26"/>
    <mergeCell ref="G25:G26"/>
    <mergeCell ref="K25:K28"/>
    <mergeCell ref="L31:L32"/>
    <mergeCell ref="Q31:Q32"/>
    <mergeCell ref="G29:G30"/>
    <mergeCell ref="K29:K32"/>
    <mergeCell ref="L29:L30"/>
    <mergeCell ref="M29:M32"/>
    <mergeCell ref="O29:O32"/>
    <mergeCell ref="P29:P32"/>
    <mergeCell ref="A29:A36"/>
    <mergeCell ref="B29:B30"/>
    <mergeCell ref="C29:C32"/>
    <mergeCell ref="D29:D32"/>
    <mergeCell ref="E29:E32"/>
    <mergeCell ref="F29:F30"/>
    <mergeCell ref="B33:B34"/>
    <mergeCell ref="C33:C36"/>
    <mergeCell ref="D33:D36"/>
    <mergeCell ref="E33:E36"/>
    <mergeCell ref="K4:P5"/>
    <mergeCell ref="P33:P36"/>
    <mergeCell ref="Q33:Q34"/>
    <mergeCell ref="R33:R36"/>
    <mergeCell ref="S33:S36"/>
    <mergeCell ref="U33:U36"/>
    <mergeCell ref="B35:B36"/>
    <mergeCell ref="F35:F36"/>
    <mergeCell ref="G35:G36"/>
    <mergeCell ref="L35:L36"/>
    <mergeCell ref="Q35:Q36"/>
    <mergeCell ref="F33:F34"/>
    <mergeCell ref="G33:G34"/>
    <mergeCell ref="K33:K36"/>
    <mergeCell ref="L33:L34"/>
    <mergeCell ref="M33:M36"/>
    <mergeCell ref="O33:O36"/>
    <mergeCell ref="Q29:Q30"/>
    <mergeCell ref="R29:R32"/>
    <mergeCell ref="S29:S32"/>
    <mergeCell ref="U29:U32"/>
    <mergeCell ref="B31:B32"/>
    <mergeCell ref="F31:F32"/>
    <mergeCell ref="G31:G3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AÇO-CONC-FORMA</vt:lpstr>
      <vt:lpstr>TERRAPLANAGEM</vt:lpstr>
      <vt:lpstr>Plan1</vt:lpstr>
      <vt:lpstr>TERRAPLANAGEM!Area_de_impressao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Gercio</dc:creator>
  <cp:lastModifiedBy>FLAVIO ROBERTO</cp:lastModifiedBy>
  <cp:lastPrinted>2020-10-01T14:46:45Z</cp:lastPrinted>
  <dcterms:created xsi:type="dcterms:W3CDTF">2016-11-26T22:31:49Z</dcterms:created>
  <dcterms:modified xsi:type="dcterms:W3CDTF">2020-10-02T14:03:11Z</dcterms:modified>
</cp:coreProperties>
</file>