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Y:\Sec_Saúde\Margem esquerda 2\Fiscalização\NOVA LICITAÇÃO UBS ME II 2017\Documentos Licitação\Orçamento 2017\"/>
    </mc:Choice>
  </mc:AlternateContent>
  <bookViews>
    <workbookView xWindow="120" yWindow="45" windowWidth="15180" windowHeight="8580"/>
  </bookViews>
  <sheets>
    <sheet name="Orçamento UBS MEII 10.10.2017" sheetId="5" r:id="rId1"/>
  </sheets>
  <definedNames>
    <definedName name="_xlnm.Print_Area" localSheetId="0">'Orçamento UBS MEII 10.10.2017'!$A$1:$G$197</definedName>
    <definedName name="_xlnm.Print_Titles" localSheetId="0">'Orçamento UBS MEII 10.10.2017'!$1:$10</definedName>
  </definedNames>
  <calcPr calcId="152511"/>
</workbook>
</file>

<file path=xl/calcChain.xml><?xml version="1.0" encoding="utf-8"?>
<calcChain xmlns="http://schemas.openxmlformats.org/spreadsheetml/2006/main">
  <c r="F166" i="5" l="1"/>
  <c r="F167" i="5" l="1"/>
  <c r="G166" i="5"/>
  <c r="F93" i="5" l="1"/>
  <c r="F107" i="5"/>
  <c r="F106" i="5"/>
  <c r="G106" i="5" s="1"/>
  <c r="F170" i="5" l="1"/>
  <c r="F165" i="5"/>
  <c r="F164" i="5"/>
  <c r="F163" i="5"/>
  <c r="F162" i="5"/>
  <c r="F159" i="5"/>
  <c r="F173" i="5"/>
  <c r="F156" i="5"/>
  <c r="F155" i="5"/>
  <c r="F154" i="5"/>
  <c r="F153" i="5"/>
  <c r="F152" i="5"/>
  <c r="F151" i="5"/>
  <c r="F147" i="5"/>
  <c r="F144" i="5"/>
  <c r="F143" i="5"/>
  <c r="F142" i="5"/>
  <c r="F141" i="5"/>
  <c r="F140" i="5" l="1"/>
  <c r="F139" i="5"/>
  <c r="F138" i="5"/>
  <c r="F137" i="5"/>
  <c r="F136" i="5"/>
  <c r="F135" i="5" l="1"/>
  <c r="F134" i="5"/>
  <c r="F133" i="5"/>
  <c r="F130" i="5"/>
  <c r="F131" i="5"/>
  <c r="F132" i="5"/>
  <c r="F129" i="5"/>
  <c r="F127" i="5"/>
  <c r="F128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05" i="5"/>
  <c r="F99" i="5"/>
  <c r="F97" i="5"/>
  <c r="F50" i="5"/>
  <c r="F49" i="5"/>
  <c r="F113" i="5"/>
  <c r="F112" i="5"/>
  <c r="F111" i="5"/>
  <c r="F110" i="5"/>
  <c r="F104" i="5"/>
  <c r="F103" i="5"/>
  <c r="F102" i="5"/>
  <c r="F101" i="5"/>
  <c r="F100" i="5"/>
  <c r="F98" i="5"/>
  <c r="F96" i="5"/>
  <c r="F95" i="5"/>
  <c r="F94" i="5"/>
  <c r="F90" i="5" l="1"/>
  <c r="F89" i="5"/>
  <c r="F88" i="5"/>
  <c r="F85" i="5"/>
  <c r="F83" i="5"/>
  <c r="F84" i="5"/>
  <c r="F82" i="5"/>
  <c r="F81" i="5"/>
  <c r="F80" i="5"/>
  <c r="F79" i="5"/>
  <c r="F78" i="5"/>
  <c r="F77" i="5"/>
  <c r="F76" i="5"/>
  <c r="F75" i="5"/>
  <c r="F73" i="5"/>
  <c r="F74" i="5"/>
  <c r="F70" i="5"/>
  <c r="F69" i="5"/>
  <c r="F72" i="5"/>
  <c r="F71" i="5"/>
  <c r="F66" i="5"/>
  <c r="F67" i="5"/>
  <c r="F64" i="5"/>
  <c r="F63" i="5"/>
  <c r="F68" i="5"/>
  <c r="F65" i="5"/>
  <c r="F62" i="5"/>
  <c r="F61" i="5"/>
  <c r="F60" i="5"/>
  <c r="F59" i="5"/>
  <c r="G59" i="5" s="1"/>
  <c r="F56" i="5"/>
  <c r="G56" i="5" s="1"/>
  <c r="F58" i="5"/>
  <c r="G58" i="5" s="1"/>
  <c r="F55" i="5"/>
  <c r="G55" i="5" s="1"/>
  <c r="F57" i="5"/>
  <c r="F54" i="5"/>
  <c r="G50" i="5"/>
  <c r="G49" i="5"/>
  <c r="F46" i="5"/>
  <c r="F51" i="5"/>
  <c r="F48" i="5"/>
  <c r="G48" i="5" s="1"/>
  <c r="F47" i="5"/>
  <c r="F43" i="5"/>
  <c r="F42" i="5"/>
  <c r="F41" i="5"/>
  <c r="F40" i="5"/>
  <c r="F39" i="5"/>
  <c r="F38" i="5"/>
  <c r="F35" i="5"/>
  <c r="F34" i="5"/>
  <c r="F33" i="5"/>
  <c r="F32" i="5"/>
  <c r="F26" i="5"/>
  <c r="F25" i="5"/>
  <c r="G25" i="5" s="1"/>
  <c r="F24" i="5"/>
  <c r="F29" i="5"/>
  <c r="F21" i="5" l="1"/>
  <c r="F20" i="5"/>
  <c r="F19" i="5"/>
  <c r="F18" i="5"/>
  <c r="F14" i="5"/>
  <c r="F17" i="5"/>
  <c r="F13" i="5"/>
  <c r="F12" i="5"/>
  <c r="F148" i="5" l="1"/>
  <c r="G141" i="5"/>
  <c r="G139" i="5"/>
  <c r="G136" i="5"/>
  <c r="G140" i="5"/>
  <c r="G138" i="5"/>
  <c r="G137" i="5"/>
  <c r="G134" i="5"/>
  <c r="G127" i="5"/>
  <c r="G128" i="5"/>
  <c r="G162" i="5"/>
  <c r="G119" i="5" l="1"/>
  <c r="G89" i="5"/>
  <c r="G115" i="5"/>
  <c r="G105" i="5"/>
  <c r="G104" i="5"/>
  <c r="G96" i="5"/>
  <c r="G148" i="5"/>
  <c r="G147" i="5"/>
  <c r="G173" i="5"/>
  <c r="G174" i="5" s="1"/>
  <c r="G101" i="5"/>
  <c r="G100" i="5"/>
  <c r="G99" i="5"/>
  <c r="G82" i="5"/>
  <c r="G81" i="5"/>
  <c r="G80" i="5"/>
  <c r="G79" i="5"/>
  <c r="G84" i="5"/>
  <c r="G73" i="5"/>
  <c r="G75" i="5"/>
  <c r="G76" i="5"/>
  <c r="G77" i="5"/>
  <c r="G72" i="5"/>
  <c r="G69" i="5"/>
  <c r="G67" i="5"/>
  <c r="G68" i="5"/>
  <c r="G66" i="5"/>
  <c r="G65" i="5"/>
  <c r="G64" i="5"/>
  <c r="G62" i="5"/>
  <c r="G61" i="5"/>
  <c r="G51" i="5"/>
  <c r="G149" i="5" l="1"/>
  <c r="G29" i="5"/>
  <c r="G26" i="5"/>
  <c r="G24" i="5"/>
  <c r="G21" i="5"/>
  <c r="G18" i="5"/>
  <c r="G19" i="5"/>
  <c r="G20" i="5"/>
  <c r="G17" i="5"/>
  <c r="G14" i="5"/>
  <c r="G13" i="5"/>
  <c r="G12" i="5"/>
  <c r="G167" i="5"/>
  <c r="G165" i="5"/>
  <c r="G159" i="5"/>
  <c r="G155" i="5"/>
  <c r="G154" i="5"/>
  <c r="G152" i="5"/>
  <c r="G151" i="5"/>
  <c r="G144" i="5"/>
  <c r="G142" i="5"/>
  <c r="G131" i="5"/>
  <c r="G135" i="5"/>
  <c r="G132" i="5"/>
  <c r="G130" i="5"/>
  <c r="G126" i="5"/>
  <c r="G125" i="5"/>
  <c r="G124" i="5"/>
  <c r="G122" i="5"/>
  <c r="G121" i="5"/>
  <c r="G120" i="5"/>
  <c r="G118" i="5"/>
  <c r="G117" i="5"/>
  <c r="G116" i="5"/>
  <c r="G114" i="5"/>
  <c r="G113" i="5"/>
  <c r="G112" i="5"/>
  <c r="G111" i="5"/>
  <c r="G110" i="5"/>
  <c r="G107" i="5"/>
  <c r="G103" i="5"/>
  <c r="G98" i="5"/>
  <c r="G97" i="5"/>
  <c r="G95" i="5"/>
  <c r="G94" i="5"/>
  <c r="G93" i="5"/>
  <c r="G90" i="5"/>
  <c r="G88" i="5"/>
  <c r="G85" i="5"/>
  <c r="G83" i="5"/>
  <c r="G74" i="5"/>
  <c r="G71" i="5"/>
  <c r="G63" i="5"/>
  <c r="G57" i="5"/>
  <c r="G70" i="5"/>
  <c r="G46" i="5"/>
  <c r="G43" i="5"/>
  <c r="G40" i="5"/>
  <c r="G39" i="5"/>
  <c r="G33" i="5"/>
  <c r="G129" i="5"/>
  <c r="G170" i="5"/>
  <c r="G171" i="5" s="1"/>
  <c r="G164" i="5"/>
  <c r="G163" i="5"/>
  <c r="G156" i="5"/>
  <c r="G153" i="5"/>
  <c r="G143" i="5"/>
  <c r="G133" i="5"/>
  <c r="G102" i="5"/>
  <c r="G78" i="5"/>
  <c r="G60" i="5"/>
  <c r="G54" i="5"/>
  <c r="G47" i="5"/>
  <c r="G42" i="5"/>
  <c r="G41" i="5"/>
  <c r="G38" i="5"/>
  <c r="G35" i="5"/>
  <c r="G34" i="5"/>
  <c r="G32" i="5"/>
  <c r="G123" i="5"/>
  <c r="G15" i="5" l="1"/>
  <c r="G27" i="5"/>
  <c r="G36" i="5"/>
  <c r="G168" i="5"/>
  <c r="G44" i="5"/>
  <c r="G30" i="5"/>
  <c r="G52" i="5"/>
  <c r="G91" i="5"/>
  <c r="G86" i="5"/>
  <c r="G108" i="5"/>
  <c r="G145" i="5"/>
  <c r="G157" i="5"/>
  <c r="G160" i="5"/>
  <c r="G22" i="5"/>
  <c r="G175" i="5" l="1"/>
</calcChain>
</file>

<file path=xl/sharedStrings.xml><?xml version="1.0" encoding="utf-8"?>
<sst xmlns="http://schemas.openxmlformats.org/spreadsheetml/2006/main" count="601" uniqueCount="436">
  <si>
    <t>Bloco de iluminação de emergência autônoma - PL 9W c/ suporte,autonomia de 2,5hs</t>
  </si>
  <si>
    <t xml:space="preserve">Bloco autônomo de balizamento c/ inscrição"SAÌDA", fixado em parede c/ uma lâmpada compacta de 5W, fornecimento e instalação </t>
  </si>
  <si>
    <t>15.1</t>
  </si>
  <si>
    <t>15.2</t>
  </si>
  <si>
    <t>17.1</t>
  </si>
  <si>
    <t>2.2</t>
  </si>
  <si>
    <t>2.3</t>
  </si>
  <si>
    <t>2.4</t>
  </si>
  <si>
    <t>2.5</t>
  </si>
  <si>
    <t xml:space="preserve">MOVIMENTAÇÃO DE TERRA </t>
  </si>
  <si>
    <t>11.12</t>
  </si>
  <si>
    <t>11.13</t>
  </si>
  <si>
    <t>Total do item 1.</t>
  </si>
  <si>
    <t>Total do item 2.</t>
  </si>
  <si>
    <t>Total do item 3.</t>
  </si>
  <si>
    <t>Total do item 6.</t>
  </si>
  <si>
    <t>Total do item 8.</t>
  </si>
  <si>
    <t>Total do item 9.</t>
  </si>
  <si>
    <t>Total do item 10.</t>
  </si>
  <si>
    <t>Total do item 11.</t>
  </si>
  <si>
    <t>Total do item 12.</t>
  </si>
  <si>
    <t>Total do item 14.</t>
  </si>
  <si>
    <t>Total do item 15.</t>
  </si>
  <si>
    <t>Total do item 16.</t>
  </si>
  <si>
    <t>Total do item 17.</t>
  </si>
  <si>
    <t>pç</t>
  </si>
  <si>
    <t>ITEM</t>
  </si>
  <si>
    <t>ESPECIFICAÇÕES</t>
  </si>
  <si>
    <t>UN.</t>
  </si>
  <si>
    <t>m</t>
  </si>
  <si>
    <t>m²</t>
  </si>
  <si>
    <t>m³</t>
  </si>
  <si>
    <t xml:space="preserve">           PREFEITURA  MUNICIPAL  DE  GASPAR</t>
  </si>
  <si>
    <t>TOTAL</t>
  </si>
  <si>
    <t>un</t>
  </si>
  <si>
    <t>PREÇO UNIT.</t>
  </si>
  <si>
    <t>QUANT.</t>
  </si>
  <si>
    <t>IMPERMEABILIZAÇÃO</t>
  </si>
  <si>
    <t>PAVIMENTAÇÃO</t>
  </si>
  <si>
    <t>ESQUADRIAS</t>
  </si>
  <si>
    <t>VIDROS</t>
  </si>
  <si>
    <t>INSTALAÇÕES HIDRO-SANITÁRIAS</t>
  </si>
  <si>
    <t>SERVIÇOS COMPLEMENTARES</t>
  </si>
  <si>
    <t xml:space="preserve"> </t>
  </si>
  <si>
    <t xml:space="preserve">SERVIÇOS PRELIMINARES </t>
  </si>
  <si>
    <t xml:space="preserve">INSTALAÇÕES ELÉTRICAS </t>
  </si>
  <si>
    <t>cj</t>
  </si>
  <si>
    <t>Limpeza permanente da obra</t>
  </si>
  <si>
    <t>CÓDIGO</t>
  </si>
  <si>
    <t xml:space="preserve">Dispenser em polietileno c/ visor transparente e válvula dosadora (123mm de larg.x250mm de altura x 125mm de prof.) p/ sabonete líquido,c/ refil de 400ml,fornecimento e instalação - parede </t>
  </si>
  <si>
    <t>pt</t>
  </si>
  <si>
    <t>11.10</t>
  </si>
  <si>
    <t>11.11</t>
  </si>
  <si>
    <t>Instalação provisória unid. sanitária c/ 5m²</t>
  </si>
  <si>
    <t>1.</t>
  </si>
  <si>
    <t>1.1</t>
  </si>
  <si>
    <t>1.2</t>
  </si>
  <si>
    <t>2.</t>
  </si>
  <si>
    <t>2.1</t>
  </si>
  <si>
    <t>3.</t>
  </si>
  <si>
    <t>3.1</t>
  </si>
  <si>
    <t>11.14</t>
  </si>
  <si>
    <t>11.15</t>
  </si>
  <si>
    <t>11.16</t>
  </si>
  <si>
    <t>INSTALAÇÃO DE CANTEIRO DE OBRA</t>
  </si>
  <si>
    <t>6.</t>
  </si>
  <si>
    <t>8.</t>
  </si>
  <si>
    <t>9.</t>
  </si>
  <si>
    <t>10.</t>
  </si>
  <si>
    <t>11.</t>
  </si>
  <si>
    <t>12.</t>
  </si>
  <si>
    <t>14.</t>
  </si>
  <si>
    <t>15.</t>
  </si>
  <si>
    <t>16.</t>
  </si>
  <si>
    <t>17.</t>
  </si>
  <si>
    <t>REVESTIMENTO</t>
  </si>
  <si>
    <t>6.4</t>
  </si>
  <si>
    <t>8.2</t>
  </si>
  <si>
    <t>8.3</t>
  </si>
  <si>
    <t>8.4</t>
  </si>
  <si>
    <t>8.5</t>
  </si>
  <si>
    <t>10.1</t>
  </si>
  <si>
    <t>10.2</t>
  </si>
  <si>
    <t>10.3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</si>
  <si>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</si>
  <si>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</si>
  <si>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</si>
  <si>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</si>
  <si>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</si>
  <si>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</si>
  <si>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</si>
  <si>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</si>
  <si>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</si>
  <si>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14.1</t>
  </si>
  <si>
    <t>END.: RUA PROJETADA 04, S/N</t>
  </si>
  <si>
    <t>BAIRRO : MARGEM ESQUERDA - GASPAR/SC</t>
  </si>
  <si>
    <t>Limpeza manual de terreno c/ raspagem superficial (remoção de resíduos,detritos e vegetação rasteira e pequenas arbustos) - incluso: carga e transporte</t>
  </si>
  <si>
    <t>C05.05.05.30.005</t>
  </si>
  <si>
    <t>S - 74209/001</t>
  </si>
  <si>
    <t>S - 73948/016</t>
  </si>
  <si>
    <t xml:space="preserve">Mobilização e desmobilização de obra para distâncias de 35Km até 150km </t>
  </si>
  <si>
    <t>equip</t>
  </si>
  <si>
    <t>S - 74220/001</t>
  </si>
  <si>
    <t>Instalação/ligação provisória de água</t>
  </si>
  <si>
    <t>Instalação/ligação provisória de energia elétrica baixa tensão (aérea) p/ canteiro de obra,Chave de 100A,Carga de 3KWH c/ aterramento</t>
  </si>
  <si>
    <t>C10.08.05.05.005</t>
  </si>
  <si>
    <t>C35.25.10.05.010</t>
  </si>
  <si>
    <t>S - 83742</t>
  </si>
  <si>
    <t xml:space="preserve">C10.56.15.10.015 </t>
  </si>
  <si>
    <t xml:space="preserve">C10.56.30.15.015 </t>
  </si>
  <si>
    <t>C10.84.25.05.032</t>
  </si>
  <si>
    <t>Soleira em granito polido (espessura: 2,0cm e largura: 15cm), cor cinza Corumbá, assentado sobre argamassa colante pré-fabricada - incluso: limpeza e acabamentos</t>
  </si>
  <si>
    <t>Piso em concreto armado c/ aditivo impermeabilizante (hidrófugo), Fck 20MPa - Traço: 1:2:3,5 (cimento/areia/brita zero),polido e c/ juntas em silicone, requadro de 1,50mx1,50m - (Área Coberta p/ Atividades)</t>
  </si>
  <si>
    <t>C10.56.15.05.005</t>
  </si>
  <si>
    <t>Rodapé cerâmico, padrão alto, altura de 10cm,assentado sobre argamassa colante pré-fabricada - inclusive: rejuntamento e acabamento  (OBS.: rodapé embutido no reboco/parede,sem arestas)</t>
  </si>
  <si>
    <t>Cerâmica de parede retificado (azulejo),padrão Classe "A", dimensões: 20cm x 20cm, cor branco, assentado s/ argamassa pré-fabricada ,c/ rejunte epóxi na cor branco,inlcuso: + 10% reposição e acabamento</t>
  </si>
  <si>
    <t xml:space="preserve">C10.48.10.05.020 </t>
  </si>
  <si>
    <t>C10.48.10.10.010</t>
  </si>
  <si>
    <t>Rejunte de cerâmica de parede (azulejos) c/ argamassa epóxi - inlcuso: limpeza e acabamento</t>
  </si>
  <si>
    <t>C10.52.20.12.005</t>
  </si>
  <si>
    <t xml:space="preserve">Forro de gesso acartonado removivel com película, apoiados em perfis metálicos tipo "T" suspensos por pendurais rígidos (comprimento: 0.65m/espessura: 12,50mm/largura: 0,65m), colocado            </t>
  </si>
  <si>
    <t>C10.80.05.10.005</t>
  </si>
  <si>
    <t>C10.80.10.05.045</t>
  </si>
  <si>
    <t>Massa corrida látex PVA,aplicação em 2 demãos, rendimento: 0,90 litros / m² - emassamento de ambientes internos : tetos (exceto teto : sanitário PNE e banheiro funcionário) - inclusive: limpeza e acabamentos</t>
  </si>
  <si>
    <t>C10.60.02.05.005</t>
  </si>
  <si>
    <t xml:space="preserve">Peitoril em granito polido c/ acabamento (espessura = 20mm/largura =200mm) - inclusive : pingadeira </t>
  </si>
  <si>
    <t>Massa acrílica de alta resistência a umidade ,aplicação em 2 demãos,rendimento:0,84 litros/m² - inclusive: pré-limpeza e acabamento</t>
  </si>
  <si>
    <t xml:space="preserve">C10.80.10.15.005* </t>
  </si>
  <si>
    <t xml:space="preserve">C10.80.10.05.014 </t>
  </si>
  <si>
    <t>Pintura em tinta acrílica texturizada, aplicação em 2 demãos (ambientes externos)</t>
  </si>
  <si>
    <t>Pintura em tinta acrílica acetinada, aplicação em 2 demãos (ambientes internos)</t>
  </si>
  <si>
    <t>C10.60.25.15.010</t>
  </si>
  <si>
    <t>Caixilhos de porta em itaúba fixado com espuma de poliuretano expandido, espessura : 15 cm - inclusive ajustes e acabamento - Acessório p/ Porta de Madeira (PM03) - 02 unidades</t>
  </si>
  <si>
    <t>Vistas de porta em itaúba,largura padrão - inclusive colocação e acabamento - Acessório p/ Porta de Madeira (PM04) - 01 unidade</t>
  </si>
  <si>
    <t>Caixilhos de porta em itaúba fixado com espuma de poliuretano expandido, espessura : 15 cm - inclusive ajustes e acabamento - Acessório p/ Porta de Madeira (PM04) - 01 unidade</t>
  </si>
  <si>
    <t>11.17</t>
  </si>
  <si>
    <t>11.18</t>
  </si>
  <si>
    <t>11.19</t>
  </si>
  <si>
    <t>11.20</t>
  </si>
  <si>
    <r>
      <t xml:space="preserve">Porta de madeira (PM/03) interna, compensada lisa (itaúba ou angelim) p/ pintura,de correr ,de 01 folha,nas dimensões de (90cmx210cmx3,5cm) - incluso: trilho metálico superior, fechadura e colocação - exceto: caixilho e vistas de 1ª, dobradiças e pintura de acabamento - </t>
    </r>
    <r>
      <rPr>
        <i/>
        <sz val="11.5"/>
        <rFont val="Arial Narrow"/>
        <family val="2"/>
      </rPr>
      <t>Área total de porta = 3,78m² / 02 unidades</t>
    </r>
  </si>
  <si>
    <r>
      <t xml:space="preserve">Porta de madeira (PM/04) interna, compensada lisa (itaúba ou angelim) p/ pintura,de abrir ,de 01 folha,nas dimensões de (100cmx210cmx3,5cm) - incluso: caixilho e vistas de 1ª, dobradiças cromada c/ anel - exceto: fechadura c/ maçaneta e pintura de acabamento - </t>
    </r>
    <r>
      <rPr>
        <i/>
        <sz val="11.5"/>
        <rFont val="Arial Narrow"/>
        <family val="2"/>
      </rPr>
      <t>Área total de porta = 2,10m² - 01 unidade</t>
    </r>
  </si>
  <si>
    <r>
      <t xml:space="preserve">Porta de Vidro  temperado de 10mm [CV/01 - Conjunto de vidro], liso e incolor, de abrir, dimensões: (1,80mx2,60m) c/ 02 folhas móveis (90cm/90cm) e 02 folhas fixas(40cmx90cm) na parte superior , c/ puxador "H" cilíndrico (425x300)mm,fechadura de centro p/ porta de giro,dobradiças pivotante, c/ perfis superior em aluminio anodizado - </t>
    </r>
    <r>
      <rPr>
        <i/>
        <sz val="11.5"/>
        <rFont val="Arial Narrow"/>
        <family val="2"/>
      </rPr>
      <t>observação: todos os materiais devem ser em metal com acabamento cromado (tipo aço inoxidável)</t>
    </r>
    <r>
      <rPr>
        <sz val="11.5"/>
        <rFont val="Arial Narrow"/>
        <family val="2"/>
      </rPr>
      <t xml:space="preserve"> exceto os perfis - inclusive: chaves em 02 copias, colocação - </t>
    </r>
    <r>
      <rPr>
        <i/>
        <sz val="11.5"/>
        <rFont val="Arial Narrow"/>
        <family val="2"/>
      </rPr>
      <t>Área total de porta = 4,68m² / 01 conjunto - Ver Prancha DET 04 (Detalhamento de Esquadrias)</t>
    </r>
  </si>
  <si>
    <r>
      <t xml:space="preserve">Porta de Vidro  temperado de 10mm [CV/02 - Conjunto de vidro], liso e incolor, de abrir, dimensões : (4,25x3,00)m,c/ 02 folhas móveis(80/80)cm,c/ 06 folhas fixas na parte superior e 04 folhas fixas na inferior, c/ puxador "H" cilíndrico (425x300)mm,fechadura de centro p/ porta de giro,dobradiças pivotante, c/ perfis superior em aluminio anodizado - </t>
    </r>
    <r>
      <rPr>
        <i/>
        <sz val="11.5"/>
        <rFont val="Arial Narrow"/>
        <family val="2"/>
      </rPr>
      <t>observação: todos os materiais devem ser em metal com acabamento cromado (tipo aço inoxidável)</t>
    </r>
    <r>
      <rPr>
        <sz val="11.5"/>
        <rFont val="Arial Narrow"/>
        <family val="2"/>
      </rPr>
      <t xml:space="preserve"> exceto os perfis - inclusive: chaves em 02 copias, colocação - </t>
    </r>
    <r>
      <rPr>
        <i/>
        <sz val="11.5"/>
        <rFont val="Arial Narrow"/>
        <family val="2"/>
      </rPr>
      <t>Área total de porta = 14,02m² / 01 conjunto - Ver Prancha DET 04 (Detalhamento de Esquadrias)</t>
    </r>
  </si>
  <si>
    <t>Puxador em latão c/ acabamento cromado p/ pora de correr (PM/03-PM/05), instalado - Ver Prancha DET 04 (Detalhamento de Esquadrias)</t>
  </si>
  <si>
    <t>Fechadura em metal tipo "Bico de Papagaio" p/ porta de correr interna (PM/03 - PM/05), com chave bipartida,colocada - Ver Prancha DET 04 (Detalhamento de Esquadrias)</t>
  </si>
  <si>
    <r>
      <t xml:space="preserve">Janela de aluminio anodizado, tipo guilhotina  (Guichê Alumínio - GA/01), nas dimensões : (60x110)cm, 01 folha fixa(superior) e 01 folha móvel, c/ trinco borboleta e trilho, instalada - </t>
    </r>
    <r>
      <rPr>
        <i/>
        <sz val="11.5"/>
        <rFont val="Arial Narrow"/>
        <family val="2"/>
      </rPr>
      <t>Área total = 0,66m²/01 unidade - Ver Prancha DET 04 (Detalhamento de Esquadrias)</t>
    </r>
  </si>
  <si>
    <t>Janela veneziana em aço galvanizado,modelo [W/01] c/ tela fixa de ventilação, nas dimensões : (1,00mx0,40m)/04unid., c/ ferragens,instalada</t>
  </si>
  <si>
    <t>11.21</t>
  </si>
  <si>
    <t>11.22</t>
  </si>
  <si>
    <t>11.23</t>
  </si>
  <si>
    <t>11.24</t>
  </si>
  <si>
    <t>11.25</t>
  </si>
  <si>
    <t>11.26</t>
  </si>
  <si>
    <t>11.27</t>
  </si>
  <si>
    <t>11.28</t>
  </si>
  <si>
    <t>Vidro comum liso incolor de 4mm,em caixilhos de aluminio c/ baguetes e gaxetas de silicone,colocado</t>
  </si>
  <si>
    <t>Extintor de incêndio tipo PQS - 4Kg, inclusive: pintura indicativa piso/parede, suporte e acessorios p/ fixação (fornecimento e instalação)</t>
  </si>
  <si>
    <t>Extintor de incêndio tipo CO2 - 6Kg, inclusive: pintura indicativa piso/parede, suporte e acessorios p/ fixação (fornecimento e instalação)</t>
  </si>
  <si>
    <t>S - 9540</t>
  </si>
  <si>
    <t>S - 74131/005</t>
  </si>
  <si>
    <t>Mercado</t>
  </si>
  <si>
    <t>CLIMATIZAÇÃO E REDE DE LÓGICA</t>
  </si>
  <si>
    <t>S - 9537</t>
  </si>
  <si>
    <t>Sensor de presença, do tipo sobrepor c/ suporte p/ fixação na prórpia luminaria, atuação mínima de 6,0 metros,fornecimento e instalação - [Banheiro PCD,Sanitário PCD,Sanitários: Fem. PCD e Masc. PCD]</t>
  </si>
  <si>
    <t>Quadro de distribuição de energia de embutir (parede), em chapa metálica para até 24 disjuntores termomagnéticos monopolares (tipo DR), com barramento trifásico e neutro, com dispositivo para chave geral - inclusive: fornecimento e instalação completa em funcionamento</t>
  </si>
  <si>
    <t>Central de alarme e incendio convencional 220Vca - 12Vcc - 5 laços,c/ acionadores sonoros - inclusive: fiação (1,5mm²/2,5mm²),barras de eletroduto de PVC 3/4", caixas 4x2" c/ placa e  tomadas 3P, fornecimento e instalação</t>
  </si>
  <si>
    <t xml:space="preserve">Tomada p/ telefone de 4 pólos , padrão Telebrás, inlcusive : caixa de PVC c/ placa, eletroduto de PVC rigido,arame guia e fiação,demais acessórios, fornecimento e instalação </t>
  </si>
  <si>
    <t xml:space="preserve">Central telefônica c/ entrada aérea padrão Telebrás,inclusive: caixa de passagem Telebrás em chapa de aço galvanizado,quadro telefônico N6,c/ tampa,quadro de distribuição de ramais, fiação,arame guia e demais acessórios, fornecimento e instalação completa </t>
  </si>
  <si>
    <t>Instalação de rede de lógica,incluso kit de materiais,Patch,Switch,tomadas RJ45,Rack,guias,calhas,canaletas, rede de wifi, roteador e demais acessórios e materiais,inclusive: fornecimento e serviço de implantação completa</t>
  </si>
  <si>
    <t>Dispositivo de proteção contra surtos (DPS) "supressor de surto" – Classe II – 275V ,completo,fornecimento e instalação</t>
  </si>
  <si>
    <t>Tomada de piso 2P+T, de 10A//250V c/ placa,em caixa  4" x 4", em termoplástico alta resistência, inclusive demais acessorios,completa, fornecimento e instalação</t>
  </si>
  <si>
    <t>Tomada p/ ar condicionado Split, de embutir,3P (2P+T), de 20/250V c/ placa , em caixa de PVC 4"x2",hexagonal,completa,fornecimento e instalação</t>
  </si>
  <si>
    <t>Abrigo (caixa ) p/ cavalete/hidrômetro, de concreto pré-moldado, fornecimento e instalação</t>
  </si>
  <si>
    <t>Ponto c/ tomada fêmea para cabo coaxial (ponto de TV) com espelho,inclusive: caboa coaxial 8m, eletroduto até teto e demais acessórios,fornecimento e instalação (Sala da Recepção e Espera)</t>
  </si>
  <si>
    <t xml:space="preserve">Bancada em aço inoxidável,especificação (AISI_304/20),apoiada em mão francesa metálicos fixada em ferros embutidos (enchimento em concreto leve) na parede, acabamento c/ implantação de testeira sob bancada em chapa inox c/ altura de 15cm (exceto cuba em inóx), fornecimento e instalação [Ver DET. 06_ BANCADAS_PROJETO ARQUITETÔNICO]                                     </t>
  </si>
  <si>
    <t>Espelho lapidado,reto e vidro cristal de 4mm, fixado em parede c/ botões cromados,altura de 70cm (Bancada 06 - Ver DET. 06), resistente a manchas e oxidação,c/ moldura de alumínio,fornecimento e instalação</t>
  </si>
  <si>
    <t>Espelho lapidado,reto e vidro cristal de 6mm, fixado em parede c/ botões cromados,altura de 90cm (Sanitários - Ver DET. 05), resistente a manchas e oxidação,c/ moldura de alumínio,fornecimento e instalação</t>
  </si>
  <si>
    <t>12.1</t>
  </si>
  <si>
    <t>12.2</t>
  </si>
  <si>
    <t xml:space="preserve">Placa indicativa/informações das especialidades de atendimento da unidade de saúde,tamanho,fontes e cores, conforme Portaria do Ministério da Saúde - completa , fornecimento e instalação </t>
  </si>
  <si>
    <t>Programação visual de identificação de ambientes/local em material acrílico,fixada em portas,tamanho padrão conf. Ministério da Saúde,incluso: acessórios e fixadores,fornecimento e instalação</t>
  </si>
  <si>
    <t>C10.60.45.20.025</t>
  </si>
  <si>
    <t>Capacho de fibra de côco (tapete de piso -entrada),tamanho :(70cmx 40cm), personalizado [descrição do nome da instituição de saúde], fornecimento e colocação</t>
  </si>
  <si>
    <t>Ducha higiênica manual c/ desviador e mangueira lisa de 2,20m, completa, fornecimento e instalação - (aplicação: Banheiros e sanitários)</t>
  </si>
  <si>
    <t>Chuveiro elétrico comum c/ corpo de termoplástico resietente e antichama, tensão : 220V / Potência:5.400W,c/ 3 temperaturas, fornecimento e instalação</t>
  </si>
  <si>
    <t>Bebedouro conjugado elétrico 40L (dois gabinetes : adulto /criança),  painel em chapa de aço escovado c/ duas torneiras (copo e boca), fornecimento e instalação</t>
  </si>
  <si>
    <t xml:space="preserve">Torneira especial (P.N.E.) em aço inoxidável c/ acionamento por alavanca curta, arejador embutido e registro regulador de vazão, fechamento automático,modelo Presmatic Benefit Docol </t>
  </si>
  <si>
    <t>Torneira clínica alavanca 1/4 de volta,modelo de parede em metal inoxidável  p/ cuba,fechamento manual,completa - fornecimento e instalação</t>
  </si>
  <si>
    <t xml:space="preserve">Torneira em metal cromado,padrão médio de 1/2" ou 3/4" ref 1143 p/ tanque, fornecimento e instalação </t>
  </si>
  <si>
    <t xml:space="preserve">Torneira em metal cromado longa,de parede,padrão médio de 1/2" ou 3/4" - AF_12/2013  p/ pia (Copa), fornecimento e instalação </t>
  </si>
  <si>
    <t>Torneira em metal inoxidável de mesa de 3/4" p/ lavatório c/ acionamento hidro penumático,completa - fornecimento e instalação</t>
  </si>
  <si>
    <t>Cabide em aço inoxidável (cromado) de parede, c/ 2 ganchos,inclusive: acessórios de fixação [Banheiros,Copa,Sala Administração e Consultórios], fornecimento e instalação</t>
  </si>
  <si>
    <t>Dispenser p/ papel toalha, em plástico ABS reforçado (275mm de larg.x365mm de alturax120mm profundidade),inclusive refil c/ 600 folhas, fixado em parede,fornecimento e instalação</t>
  </si>
  <si>
    <t xml:space="preserve">Dispenser para papel higiênico em PVC (reforçado) em parede c/ rolo (refil), fornecimento e instalação </t>
  </si>
  <si>
    <t xml:space="preserve">Dispenser p/ antisséptico (álcool gel 70%) em polietileno c/ visor transparente e válvula dosadora (82mm de larg.x140mm de altura x 110mm de prof.),inclusive c/ refil de 400ml,fornecimento e instalação - parede </t>
  </si>
  <si>
    <t xml:space="preserve">Dispenser p/ antisséptico (álcool gel 70%) em polietileno c/ visor transparente e válvula dosadora (Volume: 800ml),inclusive c/ refil ,fixado em parede - Sala da Recepção_Espera,fornecimento e instalação </t>
  </si>
  <si>
    <t>Dispenser poupa copo de água de 150 a 200ml, em material acriílico c/ tampa superior removível,fixado em  parede_bebedouro, fornecimento e instalação</t>
  </si>
  <si>
    <t>Barra de apoio_ suporte em aço inoxidável tubular para lavatório, diâmetro de 38mm,formato em " U", nas dimensões de (Ver DET 05), parede x parede,  direita ou esquerda (P.N.E.),fornecimento e instalação</t>
  </si>
  <si>
    <t>Barra de apoio_ suporte em aço inoxidável tubular para lavatório, diâmetro de 38mm,formato em " L", nas dimensões de (Ver DET 05), parede x parede,  direita ou esquerda (P.N.E.),fornecimento e instalação</t>
  </si>
  <si>
    <t xml:space="preserve">Barra de apoio_suporte em formato "U" em aço inoxidável (chuveiro), tubular de diâmetro de 38mm,paredexparede, c/ suporte móvel na dimensão de 850mm x 240mm x 202mm, (P.N.E.)    </t>
  </si>
  <si>
    <t xml:space="preserve">Banco articulado p/ banho em aço inoxidável e cadeira escamoteável, dimensões de (70xmx45cm), c/ base em chapa de bitola 1/4", esp. de 2mm, perfurada p/ passagem de água e sabão,chuveiro (P.N.E.) </t>
  </si>
  <si>
    <r>
      <t xml:space="preserve">Sifão em metal cromado (aço inoxidável) p/ cuba - 1 </t>
    </r>
    <r>
      <rPr>
        <sz val="10"/>
        <rFont val="Arial Narrow"/>
        <family val="2"/>
      </rPr>
      <t>1/2</t>
    </r>
    <r>
      <rPr>
        <sz val="11.5"/>
        <rFont val="Arial Narrow"/>
        <family val="2"/>
      </rPr>
      <t xml:space="preserve"> x 2" ,modelo adaptável  e multiuso,fornecimento e instalação</t>
    </r>
  </si>
  <si>
    <t>Tanque de aço inoxidavel c/ esfregador (comprimento: 60 cm / largura: 72 cm / altura:padrão),fixado em parede e apoiada s/ 02 perfis metálicos (mão francesa) em aço galvanizado pré pintado,inclusive válvula e sifão corrugado multiuso, fornecimento e instalação</t>
  </si>
  <si>
    <t>Lavatório de louça branco,esmaltada, c/ semi- coluna, do tipo suspenso, fixado em parede e demais acessórios,inclusive: sifão corrugado multiuso,fornecimento e instalação</t>
  </si>
  <si>
    <t>Tanque de expurgo em aço inoxidável liso c/ válvula,tamanho padrão,fixado em parede c/ parafusos cromados,apoio sobre perfis (mão francesa) de aço galvanizado pré pintado,completo, fornec. e instalação</t>
  </si>
  <si>
    <t>Grelha redonda em metal cromado c/ fechamento escamoteável (p/ ralo c/ fecho hídrico)</t>
  </si>
  <si>
    <r>
      <t>Mola hidráulica aérea até 135º, em metal galvanizado c/ pintura (completa),modelo fixada na parte superior de portas dos ambientes</t>
    </r>
    <r>
      <rPr>
        <i/>
        <sz val="11.5"/>
        <rFont val="Arial Narrow"/>
        <family val="2"/>
      </rPr>
      <t>(Expurgo,DML,Esterilização,Estocagem e Circulação)</t>
    </r>
    <r>
      <rPr>
        <sz val="11.5"/>
        <rFont val="Arial Narrow"/>
        <family val="2"/>
      </rPr>
      <t>,fornecimento e instalação</t>
    </r>
  </si>
  <si>
    <t>Vaso sanitário sifonado c/ caixa acoplada [louça branca], inclusive: vedação p/ vaso,assento,tampa e engate flexível em metal cromado de 1/2" x 40cm, fornec.e instalação (alavanca lateral em metal cromado)</t>
  </si>
  <si>
    <t>PINTURA</t>
  </si>
  <si>
    <t>INSTALAÇÕES PREVENTIVO DE INCÊNDIO</t>
  </si>
  <si>
    <t xml:space="preserve">DRENAGEM PLUVIAL </t>
  </si>
  <si>
    <t>LIMPEZA DA OBRA</t>
  </si>
  <si>
    <t xml:space="preserve"> TOTAL DA OBRA </t>
  </si>
  <si>
    <t>"AS BUILT"</t>
  </si>
  <si>
    <t xml:space="preserve">"As Built" - Projeto Técnico como construído, c/ copia gravado em mídia (CD/DVD/Pen Drive) e 01 cópia plotada e devidamentte assinada (Resp. Técnico e Resp. da Contratada) </t>
  </si>
  <si>
    <t>C10.08.05.05.015</t>
  </si>
  <si>
    <t>C10.08.05.10.050</t>
  </si>
  <si>
    <t>Barracão de obra provisório em chapa de madeira compensada c/ cobertura em telhas de fibrocimento 4mm, abrigo /depósito - incluso: instalações hidrosanitárias e elétricas.dim.: (6,00x3,50m)</t>
  </si>
  <si>
    <t>Tapume de chapa de madeira compensada, espessura de 6mm  c/ pintura a base de cal  c/ reparoveitamento em 2x - Observação: altura mínima de 2,00m (proteção/vedação)</t>
  </si>
  <si>
    <t>Notas : Valores em Reais / BDI _ATUAL = 23,90%</t>
  </si>
  <si>
    <t>C10.12.05.10.005</t>
  </si>
  <si>
    <t>S - 74034/001</t>
  </si>
  <si>
    <t>3.3</t>
  </si>
  <si>
    <t>S - 74005/002</t>
  </si>
  <si>
    <t>Espalhamento de material de 1ª. categoria (solo sedimentar, aterro) com trator de esteira com 153HP, execução desta etapa com cuidado devido a evitar trincas na construção</t>
  </si>
  <si>
    <t xml:space="preserve">Fornecimento de argila para aterro, posto obra (sem regularização e compactação) ,nivelamento do pátio </t>
  </si>
  <si>
    <r>
      <t xml:space="preserve">Valores unitários obtidos na tabela do </t>
    </r>
    <r>
      <rPr>
        <b/>
        <i/>
        <sz val="10"/>
        <rFont val="Arial Narrow"/>
        <family val="2"/>
      </rPr>
      <t>CCOP</t>
    </r>
    <r>
      <rPr>
        <i/>
        <sz val="10"/>
        <rFont val="Arial Narrow"/>
        <family val="2"/>
      </rPr>
      <t xml:space="preserve"> (IPPUJ/Joinville) Dezembro/2015 - Incluso B.D.I de 23,90% + Correção INCC até Agosto de 2017 (9,59%) - Coleta Dados (https://br.advfn.com/indicadores/incc)</t>
    </r>
  </si>
  <si>
    <r>
      <t xml:space="preserve">Valores unitários obtidos na tabela do </t>
    </r>
    <r>
      <rPr>
        <b/>
        <i/>
        <sz val="10"/>
        <rFont val="Arial Narrow"/>
        <family val="2"/>
      </rPr>
      <t>SINAPI</t>
    </r>
    <r>
      <rPr>
        <i/>
        <sz val="10"/>
        <rFont val="Arial Narrow"/>
        <family val="2"/>
      </rPr>
      <t xml:space="preserve"> (Florianópolis) - Agosto de 2017 sem desoneração - Incluso B.D.I de 23,90%</t>
    </r>
  </si>
  <si>
    <r>
      <t xml:space="preserve">Alguns valores unitários obtidos em pesquisa/consulta no </t>
    </r>
    <r>
      <rPr>
        <b/>
        <i/>
        <sz val="10"/>
        <rFont val="Arial Narrow"/>
        <family val="2"/>
      </rPr>
      <t>Mercado</t>
    </r>
    <r>
      <rPr>
        <i/>
        <sz val="10"/>
        <rFont val="Arial Narrow"/>
        <family val="2"/>
      </rPr>
      <t xml:space="preserve"> da nossa Região (Agosto/2017).</t>
    </r>
  </si>
  <si>
    <t>C15.10.05.05.005</t>
  </si>
  <si>
    <t>10.4</t>
  </si>
  <si>
    <t>C10.56.05.10.005</t>
  </si>
  <si>
    <t>Fundo preparador, aplicação em 2demãos, rendimento: 0,24 litros/m²,para ambientes internos e externas (paredes e tetos) - inclusive reparos necessários nas paredes e acabamentos</t>
  </si>
  <si>
    <t>Vistas de porta em itaúba,largura padrão - inclusive colocação e acabamento - acessório p/ Porta de Madeira (PM03) - 02 unidades</t>
  </si>
  <si>
    <t>Caixilhos de porta em itaúba fixado com espuma de poliuretano expandido, espessura : 15 cm - inclusive ajustes e acabamento - acessório p/ Porta de Madeira (PM04) - 01 unidade</t>
  </si>
  <si>
    <t>C10.60.05.05.015</t>
  </si>
  <si>
    <t>C10.60.05.05.020</t>
  </si>
  <si>
    <t>Vistas de porta em itaúba,largura padrão - inclusive colocação e acabamento - acessório p/ Porta de Madeira (PM/01) - 06 unidades</t>
  </si>
  <si>
    <t>Caixilhos de porta em itaúba fixado com espuma de poliuretano expandido, espessura : 15 cm - inclusive ajustes e acabamento - Acessório p/ Porta de Madeira (PM/01) - 06 unidades</t>
  </si>
  <si>
    <t>Caixilhos de porta em itaúba fixado com espuma de poliuretano expandido, espessura : 15 cm - inclusive ajustes e acabamento - Acessório p/ Porta de Madeira (PM/02) - 12 unidades</t>
  </si>
  <si>
    <t>Vistas de porta em itaúba,largura padrão - inclusive colocação e acabamento - acessório p/ Porta de Madeira (PM/02) - 12 unidades</t>
  </si>
  <si>
    <r>
      <t xml:space="preserve">Porta interna de abrir, (PM/01), em itaúba, (80X210)cm,espessura de 3,5cm (exclusive vista,caixilho,pintura e ferragem), incluso: dobradiças cromada c/ anel - </t>
    </r>
    <r>
      <rPr>
        <i/>
        <sz val="11.5"/>
        <rFont val="Arial Narrow"/>
        <family val="2"/>
      </rPr>
      <t>Área total de porta = 10,08m²</t>
    </r>
  </si>
  <si>
    <r>
      <t xml:space="preserve">Porta interna de abrir (PM/02), em itaúba, (90X210)cm,espessura de 3,5cm (exclusive vista,caixilho,pintura e ferragem), incluso: dobradiças cromada c/ anel - </t>
    </r>
    <r>
      <rPr>
        <i/>
        <sz val="11.5"/>
        <rFont val="Arial Narrow"/>
        <family val="2"/>
      </rPr>
      <t>Área total de porta = 22,68m²</t>
    </r>
  </si>
  <si>
    <t>C10.60.20.05.025</t>
  </si>
  <si>
    <t>C10.60.20.10.005</t>
  </si>
  <si>
    <t>C10.60.05.20.010</t>
  </si>
  <si>
    <t>C10.60.05.10.006</t>
  </si>
  <si>
    <r>
      <t xml:space="preserve">Porta de alumínio anodizado (PA/01),de abrir c/ 02 folhas,c/ pintura eletrostática,c/ perfis e guarnições em aluminio anodizado, nas dimensões de (120x210)cm c/ tela metálica (mosquiteiro) ,tamanho(15x30)cm, localizados em 4 pontos  - inclusive:dobradiças de latão c/ pino de bola em latão, 02 trincos (superior/inferior) metálico cromado,e 01 fecho principal tipo trinco ferroulho c/ cadeado, colocação - </t>
    </r>
    <r>
      <rPr>
        <i/>
        <sz val="11.5"/>
        <rFont val="Arial Narrow"/>
        <family val="2"/>
      </rPr>
      <t>Área total de porta = 2,52m² / 01 unid. - Ver Prancha DET 04 (Detalhamento de Esquadrias)</t>
    </r>
  </si>
  <si>
    <r>
      <t xml:space="preserve">Porta de madeira (PM/05) interna, compensada lisa (itaúba ou angelim) p/ pintura,de correr ,de 01 folha,nas dimensões de (120x210),espessura de 3,5cm - incluso: trilho metálico superior, fechadura e colocação - exceto: caixilho e vistas de 1ª, dobradiças e pintura de acabamento - </t>
    </r>
    <r>
      <rPr>
        <i/>
        <sz val="11.5"/>
        <rFont val="Arial Narrow"/>
        <family val="2"/>
      </rPr>
      <t>Área total de porta = 2,52m² / 01 unidade</t>
    </r>
  </si>
  <si>
    <r>
      <t xml:space="preserve">Porta de alumínio anodizado (PA/03), de abrir em 02 folhas, c/ perfis e guarnições em aluminio anodizado, nas dimensões de (120x100)cm, inclusive:dobradiças de latão cromado c/ pino de bola em latão p/ peso de 30kg, maçaneta e roseta do tipo Cremona c/ 01 ponto de chave, colocação - </t>
    </r>
    <r>
      <rPr>
        <i/>
        <sz val="11.5"/>
        <rFont val="Arial Narrow"/>
        <family val="2"/>
      </rPr>
      <t>Área total de porta = 1,20m² / 01 unidade - Ver Prancha DET 04 (Detalhamento de Esquadrias)</t>
    </r>
  </si>
  <si>
    <r>
      <t xml:space="preserve">Porta de alumínio anodizado (PA/04), de abrir em 01 folha, c/ perfis e guarnições em aluminio anodizado, nas dimensões de (55x210)cm, inclusive:dobradiças de latão cromado c/ pino de bola em latão p/ peso de 30kg, maçaneta e roseta do tipo Cremona c/ 01 ponto de chave, colocação - </t>
    </r>
    <r>
      <rPr>
        <i/>
        <sz val="11.5"/>
        <rFont val="Arial Narrow"/>
        <family val="2"/>
      </rPr>
      <t>Área total de porta = 2,30m² / 02 unidades - Ver Prancha DET 04 (Detalhamento de Esquadrias)</t>
    </r>
  </si>
  <si>
    <r>
      <t xml:space="preserve">Porta de alumínio anodizado (PA/06), de abrir em 01 folha, c/ perfis e guarnições em aluminio anodizado, nas dimensões de (110x210)cm, inclusive:dobradiças de latão cromado c/ pino de bola em latão p/ peso de 30kg, maçaneta e roseta do tipo Cremona c/ 01 ponto de chave, colocação - </t>
    </r>
    <r>
      <rPr>
        <i/>
        <sz val="11.5"/>
        <rFont val="Arial Narrow"/>
        <family val="2"/>
      </rPr>
      <t>Área total de porta = 2,31m² / 01 unidade - Ver Prancha DET 04 (Detalhamento de Esquadrias)</t>
    </r>
  </si>
  <si>
    <t>S - 91341</t>
  </si>
  <si>
    <t>C10.60.30.15.020</t>
  </si>
  <si>
    <r>
      <t>Fechadura modelo cilíndrica c/ maçaneta tipo alavanca, em aço inoxidável c/ acabamento, modelo Papaiz ou Similar,  p/ porta de abrir [PM01/PM02/PM04], instalada - Linha semelhante ao projeto técnico_</t>
    </r>
    <r>
      <rPr>
        <i/>
        <sz val="11.5"/>
        <rFont val="Arial Narrow"/>
        <family val="2"/>
      </rPr>
      <t>Ver Prancha DET 04 (Detalhamento de Esquadrias)</t>
    </r>
  </si>
  <si>
    <t>S - 94575</t>
  </si>
  <si>
    <r>
      <t xml:space="preserve">Janela de aluminio anodizado [JA/02] c/ 04 folhas móveis (Projetante/Maxim-Ar),fecho haste de comando projetante,c/ ferragens,vedação com espuma expansiva PU, com vidros de 4mm, padronizada. AF_07/2016
instalada ,dim.: (2,00mx0,80m) / 10 unid. - </t>
    </r>
    <r>
      <rPr>
        <i/>
        <sz val="11.5"/>
        <rFont val="Arial Narrow"/>
        <family val="2"/>
      </rPr>
      <t>Ver Prancha DET 04 (Det. de Esquadrias)</t>
    </r>
  </si>
  <si>
    <r>
      <t xml:space="preserve">Janela de aluminio anodizado [JA/01] c/ 02 folhas móveis (Projetante/Maxim-Ar),fecho haste de comando projetante,c/ ferragens ,vedação com espuma expansiva PU, com vidros de 4mm, padronizada. AF_07/2016, instalada, dim.: (1,00mx0,80m) / 08 unid. - </t>
    </r>
    <r>
      <rPr>
        <i/>
        <sz val="11.5"/>
        <rFont val="Arial Narrow"/>
        <family val="2"/>
      </rPr>
      <t>Ver Prancha DET 04 (Det. de Esquadrias)</t>
    </r>
  </si>
  <si>
    <r>
      <t xml:space="preserve">Janela de aluminio anodizado [JA/03] c/ 04 folhas móveis (Projetante/Maxim-Ar),fecho haste de comando projetante,c/ ferragens,vedação com espuma expansiva PU, com vidros de 4mm, padronizada. AF_07/2016
instalada ,dim.: (2,00mx2,20m) / 01 unid. - </t>
    </r>
    <r>
      <rPr>
        <i/>
        <sz val="11.5"/>
        <rFont val="Arial Narrow"/>
        <family val="2"/>
      </rPr>
      <t>Ver Prancha DET 04 (Det. de Esquadrias)</t>
    </r>
  </si>
  <si>
    <r>
      <t xml:space="preserve">Janela de aluminio anodizado [JA/04] c/ 02 folhas ´moveis (Projetante/Maxim-Ar),fecho haste de comando projetante,c/ ferragens,vedação com espuma expansiva PU, com vidros de 4mm, padronizada. AF_07/2016
instalada ,dim.: (0,95mx0,80m) / 01 unid. - </t>
    </r>
    <r>
      <rPr>
        <i/>
        <sz val="11.5"/>
        <rFont val="Arial Narrow"/>
        <family val="2"/>
      </rPr>
      <t>Ver Prancha DET 04 (Det. de Esquadrias)</t>
    </r>
  </si>
  <si>
    <r>
      <t xml:space="preserve">Janela de aluminio anodizado [JA/05] c/ 02 folhas (Projetante/Maxim-Ar),fecho haste de comando projetante,c/ ferragens,vedação com espuma expansiva PU, com vidros de 4mm, padronizada. AF_07/2016
instalada ,dim.: (1,00mx0,40m) / 02 unid. - </t>
    </r>
    <r>
      <rPr>
        <i/>
        <sz val="11.5"/>
        <rFont val="Arial Narrow"/>
        <family val="2"/>
      </rPr>
      <t>Ver Prancha DET 04 (Det. de Esquadrias)</t>
    </r>
  </si>
  <si>
    <t>C10.68.10.05.005</t>
  </si>
  <si>
    <t>C10.64.15.25.005</t>
  </si>
  <si>
    <r>
      <t xml:space="preserve">Tela metálica tipo mosquiteiro,material galvanizado (anti-corrosivo)  p/ janelas e venezianas, instalada - </t>
    </r>
    <r>
      <rPr>
        <i/>
        <sz val="11.5"/>
        <rFont val="Arial Narrow"/>
        <family val="2"/>
      </rPr>
      <t>Área total = 0,66m² - Ver Prancha DET 04 (Detalhamento de Esquadrias)</t>
    </r>
  </si>
  <si>
    <t>C10.68.25.05.010</t>
  </si>
  <si>
    <t>74125/002</t>
  </si>
  <si>
    <t>S - 72337</t>
  </si>
  <si>
    <t>S - 83368</t>
  </si>
  <si>
    <t>S - 91993</t>
  </si>
  <si>
    <r>
      <t>NOTA -</t>
    </r>
    <r>
      <rPr>
        <b/>
        <i/>
        <sz val="10"/>
        <rFont val="Arial Narrow"/>
        <family val="2"/>
      </rPr>
      <t xml:space="preserve"> </t>
    </r>
    <r>
      <rPr>
        <i/>
        <sz val="10"/>
        <rFont val="Arial Narrow"/>
        <family val="2"/>
      </rPr>
      <t>ABREVIAÇÃO PARA OS CÓDIGOS</t>
    </r>
    <r>
      <rPr>
        <b/>
        <i/>
        <sz val="10"/>
        <rFont val="Arial Narrow"/>
        <family val="2"/>
      </rPr>
      <t>: S</t>
    </r>
    <r>
      <rPr>
        <i/>
        <sz val="10"/>
        <rFont val="Arial Narrow"/>
        <family val="2"/>
      </rPr>
      <t xml:space="preserve"> = SINAPI  /  "C" ou "I" = CCOP  /  </t>
    </r>
    <r>
      <rPr>
        <b/>
        <i/>
        <sz val="10"/>
        <rFont val="Arial Narrow"/>
        <family val="2"/>
      </rPr>
      <t>M</t>
    </r>
    <r>
      <rPr>
        <i/>
        <sz val="10"/>
        <rFont val="Arial Narrow"/>
        <family val="2"/>
      </rPr>
      <t xml:space="preserve"> = MERCADO DA REGIÃO</t>
    </r>
  </si>
  <si>
    <t>I21.05.05.30.0705</t>
  </si>
  <si>
    <t>C10.76.10.70.005</t>
  </si>
  <si>
    <t>S - 93654</t>
  </si>
  <si>
    <t xml:space="preserve">Disjuntor (DIN) termomagnetico monopolar de 20A/240V - inclusive: fornecimento e instalação </t>
  </si>
  <si>
    <t xml:space="preserve">Disjuntor (DIN) termomagnetico monopolar de 25A/240V - inclusive: fornecimento e instalação </t>
  </si>
  <si>
    <t>S - 93655</t>
  </si>
  <si>
    <t>S - 93656</t>
  </si>
  <si>
    <t>S - 93657</t>
  </si>
  <si>
    <t xml:space="preserve">Disjuntor (DIN) termomagnetico monopolar de 165A/240V - inclusive: fornecimento e instalação </t>
  </si>
  <si>
    <t xml:space="preserve">Disjuntor (DIN) termomagnetico monopolar de 30A/240V -  inclusive: fornecimento e instalação </t>
  </si>
  <si>
    <t>Quadro anunciador eletrônico do tipo digital,Painel de senha em LED,retangular ,tamaho padrão, (Recepção/Espera),inclusive: acessórios de instalação e fixação, fornecimento e instalação</t>
  </si>
  <si>
    <t>C10.76.40.20.005</t>
  </si>
  <si>
    <t>C10.76.10.60.010</t>
  </si>
  <si>
    <t>S - 95644</t>
  </si>
  <si>
    <t>Kit cavalete pra medição de água ,entrada principal em PVC c/  hidrômetro (registro) de 1" (32mm) - Vmáx. = 10m3/h,modelo SAMAE, fornecimento e instalação</t>
  </si>
  <si>
    <t>S - 95676</t>
  </si>
  <si>
    <t>S - 86932</t>
  </si>
  <si>
    <t>S - 95472</t>
  </si>
  <si>
    <t>10.5</t>
  </si>
  <si>
    <t>10.6</t>
  </si>
  <si>
    <t>S - 74133/002</t>
  </si>
  <si>
    <t>S - 74065/002</t>
  </si>
  <si>
    <t>Pintura em tinta esmalte acetinado na cor branco (neve ou gelo), aplicação em 2 demãos,sobre fundo nivelador branco, (portas,caixilhos e vistas) ,incluso ótimno acabamento e aplicação sobre madeira</t>
  </si>
  <si>
    <t>C10.72.19.20.020</t>
  </si>
  <si>
    <t xml:space="preserve">Cuba em aço inoxidável (AISI_304/20) p/ bancada, c/ acabamento liso,tipo hospitalar, estampada s/ solda, nas dimensões de (50x40)cm e altura h=30cm, modelo CS 40p Merkal ou Similar, fornecimento e instalação [Ver DET. 06_ BANCADAS_PROJETO ARQUITETÔNICO]                                     </t>
  </si>
  <si>
    <t>C10.72.19.60.054</t>
  </si>
  <si>
    <t>C10.72.19.80.005</t>
  </si>
  <si>
    <t>C10.72.19.80.010</t>
  </si>
  <si>
    <t>C10.72.19.60.004</t>
  </si>
  <si>
    <t>C10.72.19.90.005</t>
  </si>
  <si>
    <t>S - 9535</t>
  </si>
  <si>
    <t>C10.72.19.75.031</t>
  </si>
  <si>
    <t>C10.72.19.35.007</t>
  </si>
  <si>
    <t>C10.72.19.95.055</t>
  </si>
  <si>
    <t>C10.72.19.95.053</t>
  </si>
  <si>
    <t>S - 86910</t>
  </si>
  <si>
    <t xml:space="preserve">Torneira cromada p/ jardim de 1/2" ou 3/4" (ref 1126),padrao popular,fornecimento e instalação </t>
  </si>
  <si>
    <t>C10.72.19.95.081</t>
  </si>
  <si>
    <t>C10.80.05.25.030</t>
  </si>
  <si>
    <t>S - 95547</t>
  </si>
  <si>
    <t>C10.72.19.10.039</t>
  </si>
  <si>
    <t>C10.72.19.10.033</t>
  </si>
  <si>
    <t>C10.80.05.20.070</t>
  </si>
  <si>
    <t>C10.80.05.20.105</t>
  </si>
  <si>
    <t>C10.80.05.20.125</t>
  </si>
  <si>
    <t>Barra de apoio_ suporte reta em aço inoxidável tubular, diâmetro de 38mm, comprimento de 80cm,para parede ou porta (P.N.E.),fornecimento e instalação</t>
  </si>
  <si>
    <t>C10.80.05.20.055</t>
  </si>
  <si>
    <t>C10.80.05.20.155</t>
  </si>
  <si>
    <t>Caixa de inspeção sifonada em concreto (dimensões: 80cm x 80cm x 100 cm) c/ tampa em concreto pre-moldado e alça em aço  (Fossa_ Filtro), fornecimento e instalação</t>
  </si>
  <si>
    <t>C10.72.22.20.045</t>
  </si>
  <si>
    <t>C10.72.22.50.058</t>
  </si>
  <si>
    <t>Filtro anaeróbio cilindrico em concreto armado de Ø 2,00m x 2,00m de altura, inclusive: Brita 04 _fundo, escavação mecânica e reaterro,fornecimento e instalação</t>
  </si>
  <si>
    <t>C10.72.22.50.009</t>
  </si>
  <si>
    <t>Fossa séptica cilindrica em concreto armado de Ø 3,00m x 2,5m de altura,Volume de 17,70m³,inclusive: escavação mecânica e reaterro,fornecimento e instalação</t>
  </si>
  <si>
    <t>C10.72.49.10.015</t>
  </si>
  <si>
    <t>C10.72.49.10.011</t>
  </si>
  <si>
    <t>C10.76.30.20.008</t>
  </si>
  <si>
    <t>C10.76.30.20.012</t>
  </si>
  <si>
    <t>Placa de policarbonato (fotoluminescente) nas dimensões de (29cmx20cm) com a inscrição " SAÍDA" (sem bateria,saída de emergência) - fornecimento e instalação</t>
  </si>
  <si>
    <t>C10.76.30.10.005</t>
  </si>
  <si>
    <t>Reaterro compactado manualmente (valas e cavas)</t>
  </si>
  <si>
    <t>S - 73964/006</t>
  </si>
  <si>
    <t>Letreiro na fachada tipo caixa em chapa de aço galvanizado c/ pintura eletrostática, letra de 50cm de altura,cor prata (UNIDADE BÁSICA DE SAÚDE - SERTÃO VERDE), fornecimento e montagem</t>
  </si>
  <si>
    <t>1.3</t>
  </si>
  <si>
    <t>3.2</t>
  </si>
  <si>
    <t>6.1</t>
  </si>
  <si>
    <t>8.1</t>
  </si>
  <si>
    <t>9.1</t>
  </si>
  <si>
    <t>9.2</t>
  </si>
  <si>
    <t>9.3</t>
  </si>
  <si>
    <t>11.29</t>
  </si>
  <si>
    <t>11.30</t>
  </si>
  <si>
    <t>11.31</t>
  </si>
  <si>
    <t>11.32</t>
  </si>
  <si>
    <t>15.3</t>
  </si>
  <si>
    <t>15.4</t>
  </si>
  <si>
    <t>15.5</t>
  </si>
  <si>
    <t>15.6</t>
  </si>
  <si>
    <t>16.1</t>
  </si>
  <si>
    <t>EDMUNDO DE J, ARAÚJO JUNIOR</t>
  </si>
  <si>
    <t>Engenheiro Civil - CREA/SC 053.875-8</t>
  </si>
  <si>
    <t>4.</t>
  </si>
  <si>
    <t>4.1</t>
  </si>
  <si>
    <t>5.</t>
  </si>
  <si>
    <t>5.1</t>
  </si>
  <si>
    <t>5.2</t>
  </si>
  <si>
    <t>5.3</t>
  </si>
  <si>
    <t>5.4</t>
  </si>
  <si>
    <t>Total do item 4.</t>
  </si>
  <si>
    <t>Total do item 5.</t>
  </si>
  <si>
    <t>6.2</t>
  </si>
  <si>
    <t>6.3</t>
  </si>
  <si>
    <t>6.5</t>
  </si>
  <si>
    <t>6.6</t>
  </si>
  <si>
    <t>7.</t>
  </si>
  <si>
    <t>7.1</t>
  </si>
  <si>
    <t>7.2</t>
  </si>
  <si>
    <t>7.3</t>
  </si>
  <si>
    <t>7.4</t>
  </si>
  <si>
    <t>7.5</t>
  </si>
  <si>
    <t>7.6</t>
  </si>
  <si>
    <t>Total do item 7.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</si>
  <si>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</si>
  <si>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</si>
  <si>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</si>
  <si>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</si>
  <si>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</si>
  <si>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</si>
  <si>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</si>
  <si>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</si>
  <si>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</si>
  <si>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</si>
  <si>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</si>
  <si>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</si>
  <si>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</si>
  <si>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</si>
  <si>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</si>
  <si>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</si>
  <si>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</si>
  <si>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</si>
  <si>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</si>
  <si>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</si>
  <si>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</si>
  <si>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</si>
  <si>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</si>
  <si>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</si>
  <si>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</si>
  <si>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8.31</t>
  </si>
  <si>
    <t>8.32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</si>
  <si>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</si>
  <si>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</si>
  <si>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</si>
  <si>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</si>
  <si>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</si>
  <si>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</si>
  <si>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</si>
  <si>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</si>
  <si>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</si>
  <si>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11.33</t>
  </si>
  <si>
    <t>11.34</t>
  </si>
  <si>
    <t>11.35</t>
  </si>
  <si>
    <t>13.</t>
  </si>
  <si>
    <t>13.1</t>
  </si>
  <si>
    <t>13.2</t>
  </si>
  <si>
    <t>13.3</t>
  </si>
  <si>
    <t>13.4</t>
  </si>
  <si>
    <t>13.5</t>
  </si>
  <si>
    <t>13.6</t>
  </si>
  <si>
    <t>Total do item 13.</t>
  </si>
  <si>
    <t>OBRA: COMPLEMENTAÇÃO DA UNIDADE BÁSICA DE SAÚDE - UBS MARGEM ESQUERDA (ROD. BR 470)</t>
  </si>
  <si>
    <t>PLANILHA DE CUSTOS - ORÇAMENTO 01</t>
  </si>
  <si>
    <t>Limpeza manual de parede, lavagem com hidrojateamento de paredes internas e externas c/ aplicação de equipamentos,acessórios e produtos para auxiliar na remoção de sujeiras,detritos e pixações</t>
  </si>
  <si>
    <t>Manutenção/revisão telhado existente, efetuar correções, e caso necessário, fazer as substituições de materiais danificados, inlcuso: estrutura de maderia,telhas,rufos,calhas e tubos de descidas em PVC</t>
  </si>
  <si>
    <t>Gaspar, 10 de outubro de 2017</t>
  </si>
  <si>
    <t xml:space="preserve">               Secretaria de Planejamento Territorial</t>
  </si>
  <si>
    <t xml:space="preserve">                Administração:   Kleber Edson Wan-Dall</t>
  </si>
  <si>
    <t xml:space="preserve">                                      Luis Carlos Spengler Filho</t>
  </si>
  <si>
    <t>Vaso sanitário sifonado c/ caixa acoplada especial, p/  bwc (PCD/P.N.E),inclusive conjunto de ligação ajustável ,vedação  p/ vaso/engate flexível metal cromado de 1/2" x 40cm - completo, fornecimento e instalação</t>
  </si>
  <si>
    <t>Projeto técnico-executivo de rede de lógica - inclusive: apresentação 02 copias da ART(Anotação de Responsabilidade Técnico) devidamente,assinado por profissional habilitado e responsavel pela contratada</t>
  </si>
  <si>
    <t xml:space="preserve">Compactação mecânica c/ controle do GC&gt;=95% do PN (Áreas),c/ rolo compressor vibratório 80HP, executar os serviços c/ todo cuidado minimizando possiveis surgimento de trincas na alvenaria da construção
</t>
  </si>
  <si>
    <t>Impermeabilização de superfície de emulsão asfáltica a base d'água,c/ aplicação em 2 demãos,inclusive: reparos (laje cobertura : Sala de Observação),indícios de infiltrações,remoção e recolocação de telhado</t>
  </si>
  <si>
    <r>
      <t xml:space="preserve">Piso cerâmico retificado (30x30)cm, cor cinza claro acetinado,alto padrão - 1ª linha, assentado s/ argam. colante pré fabricada,c/ rejunte em epóxi na cor cinza (esp. </t>
    </r>
    <r>
      <rPr>
        <sz val="10"/>
        <rFont val="Calibri"/>
        <family val="2"/>
      </rPr>
      <t xml:space="preserve">≤ </t>
    </r>
    <r>
      <rPr>
        <sz val="10"/>
        <rFont val="Arial Narrow"/>
        <family val="2"/>
      </rPr>
      <t>3mm),</t>
    </r>
    <r>
      <rPr>
        <sz val="11.5"/>
        <rFont val="Arial Narrow"/>
        <family val="2"/>
      </rPr>
      <t>+ 3% reposição - inclusive: acabamento</t>
    </r>
  </si>
  <si>
    <t xml:space="preserve">Placa de obra pintada e fixada em estrutura de madeira - 1,00m altura x 2,00m comp. </t>
  </si>
  <si>
    <t>Revisão/manutenção  c/ reinstalação das instalações elétricas pendenetes e a concluir, inclusive: tomasdas, placas ,interruptores ,iluminação e fiação elétrica (F,N,R,T) c/ bitola de 1,5mm² a 16mm²</t>
  </si>
  <si>
    <t>Readequação /Entrada de energia trifásica aérea de 75A c/ poste de concreto e aterramento (Padrão CELESC), inclusive: cabeamento de 16mm²,caixa de proteção p/ medidor, caixa de inspeção/passagem,eletrodutos PVC rígido,aterramento e demais acessórios (entrada até edificação) - fornecimento e instalação completa</t>
  </si>
  <si>
    <t>Emassamento a óleo, fundo/massa reparadora pra madeira em 2 demãos (portas,caixilhos e vistas)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</si>
</sst>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23" x14ac:knownFonts="1">
    <font>
      <sz val="10"/>
      <name val="Arial"/>
    </font>
    <font>
      <sz val="10"/>
      <name val="Arial"/>
      <family val="2"/>
    </font>
    <font>
      <b/>
      <sz val="12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sz val="12"/>
      <name val="Arial Narrow"/>
      <family val="2"/>
    </font>
    <font>
      <sz val="16"/>
      <name val="Arial Narrow"/>
      <family val="2"/>
    </font>
    <font>
      <b/>
      <sz val="16"/>
      <name val="Arial Narrow"/>
      <family val="2"/>
    </font>
    <font>
      <b/>
      <sz val="13"/>
      <name val="Arial Narrow"/>
      <family val="2"/>
    </font>
    <font>
      <sz val="13"/>
      <name val="Arial Narrow"/>
      <family val="2"/>
    </font>
    <font>
      <sz val="10"/>
      <color indexed="10"/>
      <name val="Arial"/>
      <family val="2"/>
    </font>
    <font>
      <i/>
      <sz val="10"/>
      <name val="Arial Narrow"/>
      <family val="2"/>
    </font>
    <font>
      <b/>
      <sz val="11.5"/>
      <name val="Arial Narrow"/>
      <family val="2"/>
    </font>
    <font>
      <sz val="11.5"/>
      <name val="Arial Narrow"/>
      <family val="2"/>
    </font>
    <font>
      <i/>
      <sz val="11.5"/>
      <name val="Arial Narrow"/>
      <family val="2"/>
    </font>
    <font>
      <sz val="11.5"/>
      <color indexed="8"/>
      <name val="Arial Narrow"/>
      <family val="2"/>
    </font>
    <font>
      <b/>
      <sz val="14"/>
      <name val="Arial Narrow"/>
      <family val="2"/>
    </font>
    <font>
      <b/>
      <sz val="10"/>
      <name val="Arial"/>
      <family val="2"/>
    </font>
    <font>
      <sz val="10"/>
      <name val="Calibri"/>
      <family val="2"/>
    </font>
    <font>
      <b/>
      <i/>
      <sz val="10"/>
      <name val="Arial Narrow"/>
      <family val="2"/>
    </font>
    <font>
      <b/>
      <sz val="11"/>
      <name val="Arial Narrow"/>
      <family val="2"/>
    </font>
    <font>
      <b/>
      <sz val="12.5"/>
      <name val="Arial Narrow"/>
      <family val="2"/>
    </font>
    <font>
      <b/>
      <i/>
      <sz val="10.5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9">
    <xf numFmtId="0" fontId="0" fillId="0" borderId="0" xfId="0"/>
    <xf numFmtId="2" fontId="0" fillId="0" borderId="0" xfId="0" applyNumberFormat="1"/>
    <xf numFmtId="0" fontId="3" fillId="0" borderId="0" xfId="0" applyFont="1"/>
    <xf numFmtId="0" fontId="6" fillId="0" borderId="0" xfId="0" applyFont="1"/>
    <xf numFmtId="2" fontId="3" fillId="0" borderId="0" xfId="0" applyNumberFormat="1" applyFont="1"/>
    <xf numFmtId="0" fontId="8" fillId="0" borderId="0" xfId="0" applyFont="1" applyAlignment="1">
      <alignment horizontal="center"/>
    </xf>
    <xf numFmtId="0" fontId="0" fillId="0" borderId="0" xfId="0" applyBorder="1"/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2" fontId="9" fillId="0" borderId="0" xfId="1" applyNumberFormat="1" applyFont="1" applyBorder="1"/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2" fontId="0" fillId="2" borderId="0" xfId="0" applyNumberFormat="1" applyFill="1"/>
    <xf numFmtId="0" fontId="0" fillId="2" borderId="0" xfId="0" applyFill="1"/>
    <xf numFmtId="2" fontId="10" fillId="0" borderId="0" xfId="0" applyNumberFormat="1" applyFont="1"/>
    <xf numFmtId="0" fontId="10" fillId="0" borderId="0" xfId="0" applyFont="1"/>
    <xf numFmtId="0" fontId="11" fillId="0" borderId="0" xfId="0" applyFont="1" applyBorder="1" applyAlignment="1">
      <alignment horizontal="left"/>
    </xf>
    <xf numFmtId="0" fontId="4" fillId="0" borderId="0" xfId="0" applyFont="1"/>
    <xf numFmtId="0" fontId="6" fillId="0" borderId="0" xfId="0" applyFont="1" applyBorder="1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11" fillId="0" borderId="0" xfId="0" applyFont="1" applyBorder="1" applyAlignment="1"/>
    <xf numFmtId="0" fontId="5" fillId="0" borderId="0" xfId="0" applyFont="1" applyAlignment="1"/>
    <xf numFmtId="0" fontId="2" fillId="3" borderId="1" xfId="0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20" fillId="3" borderId="1" xfId="0" applyFont="1" applyFill="1" applyBorder="1" applyAlignment="1">
      <alignment horizontal="center"/>
    </xf>
    <xf numFmtId="0" fontId="4" fillId="0" borderId="1" xfId="0" applyFont="1" applyFill="1" applyBorder="1"/>
    <xf numFmtId="0" fontId="4" fillId="0" borderId="5" xfId="0" applyFont="1" applyFill="1" applyBorder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vertical="center"/>
    </xf>
    <xf numFmtId="164" fontId="13" fillId="0" borderId="1" xfId="1" applyFont="1" applyFill="1" applyBorder="1"/>
    <xf numFmtId="164" fontId="13" fillId="0" borderId="5" xfId="1" applyFont="1" applyFill="1" applyBorder="1"/>
    <xf numFmtId="164" fontId="13" fillId="0" borderId="1" xfId="1" applyFont="1" applyFill="1" applyBorder="1" applyAlignment="1">
      <alignment horizontal="right"/>
    </xf>
    <xf numFmtId="164" fontId="13" fillId="0" borderId="1" xfId="1" applyFont="1" applyFill="1" applyBorder="1" applyAlignment="1">
      <alignment horizont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top" wrapText="1"/>
    </xf>
    <xf numFmtId="164" fontId="13" fillId="0" borderId="1" xfId="1" applyFont="1" applyFill="1" applyBorder="1" applyAlignment="1"/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64" fontId="13" fillId="0" borderId="1" xfId="1" applyFont="1" applyFill="1" applyBorder="1" applyAlignment="1">
      <alignment vertical="center"/>
    </xf>
    <xf numFmtId="2" fontId="13" fillId="0" borderId="1" xfId="1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164" fontId="13" fillId="0" borderId="1" xfId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/>
    </xf>
    <xf numFmtId="164" fontId="13" fillId="0" borderId="5" xfId="1" applyFont="1" applyFill="1" applyBorder="1" applyAlignment="1">
      <alignment vertical="center"/>
    </xf>
    <xf numFmtId="0" fontId="20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vertical="center"/>
    </xf>
    <xf numFmtId="164" fontId="13" fillId="0" borderId="1" xfId="1" applyFont="1" applyFill="1" applyBorder="1" applyAlignment="1">
      <alignment vertical="center" wrapText="1"/>
    </xf>
    <xf numFmtId="0" fontId="13" fillId="0" borderId="1" xfId="0" applyFont="1" applyFill="1" applyBorder="1"/>
    <xf numFmtId="0" fontId="13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/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center"/>
    </xf>
    <xf numFmtId="164" fontId="15" fillId="0" borderId="1" xfId="1" applyFont="1" applyFill="1" applyBorder="1" applyAlignment="1"/>
    <xf numFmtId="164" fontId="15" fillId="0" borderId="1" xfId="1" applyFont="1" applyFill="1" applyBorder="1" applyAlignment="1">
      <alignment vertical="center"/>
    </xf>
    <xf numFmtId="0" fontId="8" fillId="0" borderId="0" xfId="0" applyFont="1" applyAlignment="1">
      <alignment horizontal="left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/>
    <xf numFmtId="164" fontId="8" fillId="4" borderId="1" xfId="1" applyFont="1" applyFill="1" applyBorder="1" applyAlignment="1">
      <alignment horizontal="center"/>
    </xf>
    <xf numFmtId="164" fontId="12" fillId="4" borderId="4" xfId="1" applyFont="1" applyFill="1" applyBorder="1"/>
    <xf numFmtId="164" fontId="12" fillId="4" borderId="4" xfId="1" applyFont="1" applyFill="1" applyBorder="1" applyAlignment="1">
      <alignment vertical="center"/>
    </xf>
    <xf numFmtId="164" fontId="12" fillId="4" borderId="4" xfId="1" applyNumberFormat="1" applyFont="1" applyFill="1" applyBorder="1"/>
    <xf numFmtId="39" fontId="16" fillId="4" borderId="4" xfId="1" applyNumberFormat="1" applyFont="1" applyFill="1" applyBorder="1" applyAlignment="1">
      <alignment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/>
    </xf>
    <xf numFmtId="3" fontId="22" fillId="0" borderId="1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/>
    </xf>
    <xf numFmtId="0" fontId="17" fillId="0" borderId="1" xfId="0" applyFont="1" applyBorder="1" applyAlignment="1">
      <alignment horizontal="center"/>
    </xf>
    <xf numFmtId="0" fontId="19" fillId="0" borderId="1" xfId="0" applyFont="1" applyBorder="1" applyAlignment="1"/>
    <xf numFmtId="0" fontId="11" fillId="0" borderId="1" xfId="0" applyFont="1" applyBorder="1" applyAlignment="1"/>
    <xf numFmtId="0" fontId="14" fillId="0" borderId="1" xfId="0" applyFont="1" applyBorder="1" applyAlignment="1">
      <alignment horizontal="left"/>
    </xf>
    <xf numFmtId="0" fontId="11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164" fontId="12" fillId="0" borderId="1" xfId="1" applyFont="1" applyFill="1" applyBorder="1" applyAlignment="1">
      <alignment horizontal="left"/>
    </xf>
    <xf numFmtId="164" fontId="12" fillId="0" borderId="3" xfId="1" applyFont="1" applyFill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12" fillId="0" borderId="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 vertical="center"/>
    </xf>
    <xf numFmtId="0" fontId="16" fillId="4" borderId="10" xfId="0" applyFont="1" applyFill="1" applyBorder="1" applyAlignment="1">
      <alignment horizontal="left" vertical="center"/>
    </xf>
    <xf numFmtId="0" fontId="16" fillId="4" borderId="7" xfId="0" applyFont="1" applyFill="1" applyBorder="1" applyAlignment="1">
      <alignment horizontal="left" vertical="center"/>
    </xf>
    <xf numFmtId="0" fontId="16" fillId="4" borderId="8" xfId="0" applyFont="1" applyFill="1" applyBorder="1" applyAlignment="1">
      <alignment horizontal="left" vertical="center"/>
    </xf>
    <xf numFmtId="164" fontId="12" fillId="0" borderId="5" xfId="1" applyFont="1" applyFill="1" applyBorder="1" applyAlignment="1">
      <alignment horizontal="left"/>
    </xf>
    <xf numFmtId="164" fontId="12" fillId="0" borderId="6" xfId="1" applyFont="1" applyFill="1" applyBorder="1" applyAlignment="1">
      <alignment horizontal="left"/>
    </xf>
    <xf numFmtId="0" fontId="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5" fillId="0" borderId="0" xfId="0" applyFont="1" applyBorder="1" applyAlignment="1">
      <alignment horizontal="right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371475</xdr:colOff>
          <xdr:row>0</xdr:row>
          <xdr:rowOff>19050</xdr:rowOff>
        </xdr:from>
        <xdr:to>
          <xdr:col>1</xdr:col>
          <xdr:colOff>200025</xdr:colOff>
          <xdr:row>2</xdr:row>
          <xdr:rowOff>161925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0</xdr:row>
          <xdr:rowOff>19050</xdr:rowOff>
        </xdr:from>
        <xdr:to>
          <xdr:col>1</xdr:col>
          <xdr:colOff>200025</xdr:colOff>
          <xdr:row>2</xdr:row>
          <xdr:rowOff>161925</xdr:rowOff>
        </xdr:to>
        <xdr:sp macro="" textlink="">
          <xdr:nvSpPr>
            <xdr:cNvPr id="6146" name="Object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3"/>
  <sheetViews>
    <sheetView tabSelected="1" view="pageBreakPreview" topLeftCell="A73" zoomScale="91" zoomScaleNormal="70" zoomScaleSheetLayoutView="91" workbookViewId="0">
      <selection activeCell="C50" sqref="C50"/>
    </sheetView>
  </sheetViews>
  <sheetFormatPr defaultRowHeight="12.75" x14ac:dyDescent="0.2"/>
  <cols>
    <col min="1" max="1" width="14" customWidth="1"/>
    <col min="2" max="2" width="6.7109375" customWidth="1"/>
    <col min="3" max="3" width="166.7109375" customWidth="1"/>
    <col min="4" max="4" width="6.42578125" customWidth="1"/>
    <col min="5" max="5" width="10.28515625" customWidth="1"/>
    <col min="6" max="6" width="14.42578125" customWidth="1"/>
    <col min="7" max="7" width="18.140625" customWidth="1"/>
    <col min="9" max="9" width="14.140625" customWidth="1"/>
  </cols>
  <sheetData>
    <row r="1" spans="1:7" s="2" customFormat="1" ht="18" customHeight="1" x14ac:dyDescent="0.3">
      <c r="A1"/>
      <c r="B1" s="97" t="s">
        <v>32</v>
      </c>
      <c r="C1" s="97"/>
    </row>
    <row r="2" spans="1:7" s="2" customFormat="1" ht="16.5" customHeight="1" x14ac:dyDescent="0.3">
      <c r="B2" s="98" t="s">
        <v>424</v>
      </c>
      <c r="C2" s="98"/>
    </row>
    <row r="3" spans="1:7" s="2" customFormat="1" ht="17.25" customHeight="1" x14ac:dyDescent="0.3">
      <c r="B3" s="99" t="s">
        <v>425</v>
      </c>
      <c r="C3" s="99"/>
    </row>
    <row r="4" spans="1:7" s="2" customFormat="1" ht="15.75" customHeight="1" x14ac:dyDescent="0.3">
      <c r="B4" s="99" t="s">
        <v>426</v>
      </c>
      <c r="C4" s="99"/>
    </row>
    <row r="5" spans="1:7" s="2" customFormat="1" ht="12.75" customHeight="1" x14ac:dyDescent="0.3">
      <c r="C5" s="19"/>
    </row>
    <row r="6" spans="1:7" s="2" customFormat="1" ht="18.75" customHeight="1" x14ac:dyDescent="0.3">
      <c r="A6" s="97" t="s">
        <v>419</v>
      </c>
      <c r="B6" s="97"/>
      <c r="C6" s="97"/>
      <c r="D6" s="97"/>
      <c r="E6" s="97"/>
      <c r="F6" s="97"/>
      <c r="G6" s="97"/>
    </row>
    <row r="7" spans="1:7" s="2" customFormat="1" ht="15.75" x14ac:dyDescent="0.25">
      <c r="A7" s="100" t="s">
        <v>94</v>
      </c>
      <c r="B7" s="100"/>
      <c r="C7" s="100"/>
      <c r="D7" s="100"/>
      <c r="E7" s="100"/>
      <c r="F7" s="100"/>
      <c r="G7" s="100"/>
    </row>
    <row r="8" spans="1:7" s="2" customFormat="1" ht="15.75" x14ac:dyDescent="0.25">
      <c r="A8" s="100" t="s">
        <v>95</v>
      </c>
      <c r="B8" s="100"/>
      <c r="C8" s="100"/>
      <c r="D8" s="100"/>
      <c r="E8" s="100"/>
      <c r="F8" s="100"/>
      <c r="G8" s="100"/>
    </row>
    <row r="9" spans="1:7" s="3" customFormat="1" ht="22.5" customHeight="1" x14ac:dyDescent="0.3">
      <c r="A9" s="20"/>
      <c r="B9" s="101" t="s">
        <v>420</v>
      </c>
      <c r="C9" s="101"/>
      <c r="D9" s="101"/>
      <c r="E9" s="101"/>
      <c r="F9" s="101"/>
      <c r="G9" s="101"/>
    </row>
    <row r="10" spans="1:7" s="2" customFormat="1" ht="22.5" customHeight="1" x14ac:dyDescent="0.3">
      <c r="A10" s="66" t="s">
        <v>48</v>
      </c>
      <c r="B10" s="66" t="s">
        <v>26</v>
      </c>
      <c r="C10" s="67" t="s">
        <v>27</v>
      </c>
      <c r="D10" s="66" t="s">
        <v>28</v>
      </c>
      <c r="E10" s="66" t="s">
        <v>36</v>
      </c>
      <c r="F10" s="68" t="s">
        <v>35</v>
      </c>
      <c r="G10" s="68" t="s">
        <v>33</v>
      </c>
    </row>
    <row r="11" spans="1:7" s="2" customFormat="1" ht="18" customHeight="1" x14ac:dyDescent="0.3">
      <c r="A11" s="31"/>
      <c r="B11" s="29" t="s">
        <v>54</v>
      </c>
      <c r="C11" s="83" t="s">
        <v>44</v>
      </c>
      <c r="D11" s="83"/>
      <c r="E11" s="83"/>
      <c r="F11" s="83"/>
      <c r="G11" s="83"/>
    </row>
    <row r="12" spans="1:7" s="2" customFormat="1" ht="17.25" customHeight="1" x14ac:dyDescent="0.3">
      <c r="A12" s="73" t="s">
        <v>98</v>
      </c>
      <c r="B12" s="34" t="s">
        <v>55</v>
      </c>
      <c r="C12" s="35" t="s">
        <v>432</v>
      </c>
      <c r="D12" s="34" t="s">
        <v>30</v>
      </c>
      <c r="E12" s="36">
        <v>3</v>
      </c>
      <c r="F12" s="36">
        <f>361.95*A177</f>
        <v>448.45605</v>
      </c>
      <c r="G12" s="36">
        <f>ROUND(E12*F12,2)</f>
        <v>1345.37</v>
      </c>
    </row>
    <row r="13" spans="1:7" s="2" customFormat="1" ht="17.25" customHeight="1" x14ac:dyDescent="0.3">
      <c r="A13" s="73" t="s">
        <v>99</v>
      </c>
      <c r="B13" s="34" t="s">
        <v>56</v>
      </c>
      <c r="C13" s="35" t="s">
        <v>96</v>
      </c>
      <c r="D13" s="34" t="s">
        <v>30</v>
      </c>
      <c r="E13" s="36">
        <v>711.24</v>
      </c>
      <c r="F13" s="36">
        <f>3.49*A177</f>
        <v>4.324110000000001</v>
      </c>
      <c r="G13" s="36">
        <f>ROUND(E13*F13,2)</f>
        <v>3075.48</v>
      </c>
    </row>
    <row r="14" spans="1:7" s="2" customFormat="1" ht="17.25" customHeight="1" thickBot="1" x14ac:dyDescent="0.35">
      <c r="A14" s="73" t="s">
        <v>97</v>
      </c>
      <c r="B14" s="34" t="s">
        <v>333</v>
      </c>
      <c r="C14" s="35" t="s">
        <v>100</v>
      </c>
      <c r="D14" s="34" t="s">
        <v>101</v>
      </c>
      <c r="E14" s="36">
        <v>1</v>
      </c>
      <c r="F14" s="36">
        <f>1705.39*A177*B177</f>
        <v>2315.6128203390003</v>
      </c>
      <c r="G14" s="37">
        <f>ROUND(E14*F14,2)</f>
        <v>2315.61</v>
      </c>
    </row>
    <row r="15" spans="1:7" s="2" customFormat="1" ht="16.5" customHeight="1" thickBot="1" x14ac:dyDescent="0.35">
      <c r="A15" s="32"/>
      <c r="B15" s="87" t="s">
        <v>12</v>
      </c>
      <c r="C15" s="87"/>
      <c r="D15" s="87"/>
      <c r="E15" s="87"/>
      <c r="F15" s="88"/>
      <c r="G15" s="69">
        <f>SUM(G12:G14)</f>
        <v>6736.4600000000009</v>
      </c>
    </row>
    <row r="16" spans="1:7" s="2" customFormat="1" ht="18" customHeight="1" x14ac:dyDescent="0.3">
      <c r="A16" s="31"/>
      <c r="B16" s="29" t="s">
        <v>57</v>
      </c>
      <c r="C16" s="83" t="s">
        <v>64</v>
      </c>
      <c r="D16" s="83"/>
      <c r="E16" s="83"/>
      <c r="F16" s="83"/>
      <c r="G16" s="84"/>
    </row>
    <row r="17" spans="1:9" s="2" customFormat="1" ht="17.25" customHeight="1" x14ac:dyDescent="0.3">
      <c r="A17" s="73" t="s">
        <v>102</v>
      </c>
      <c r="B17" s="34" t="s">
        <v>58</v>
      </c>
      <c r="C17" s="35" t="s">
        <v>218</v>
      </c>
      <c r="D17" s="34" t="s">
        <v>30</v>
      </c>
      <c r="E17" s="36">
        <v>230.68</v>
      </c>
      <c r="F17" s="36">
        <f>45.14*A177</f>
        <v>55.928460000000008</v>
      </c>
      <c r="G17" s="36">
        <f>ROUND(E17*F17,2)</f>
        <v>12901.58</v>
      </c>
    </row>
    <row r="18" spans="1:9" s="2" customFormat="1" ht="17.25" customHeight="1" x14ac:dyDescent="0.3">
      <c r="A18" s="73" t="s">
        <v>106</v>
      </c>
      <c r="B18" s="34" t="s">
        <v>5</v>
      </c>
      <c r="C18" s="35" t="s">
        <v>103</v>
      </c>
      <c r="D18" s="34" t="s">
        <v>34</v>
      </c>
      <c r="E18" s="38">
        <v>1</v>
      </c>
      <c r="F18" s="39">
        <f>149.74*A177*B177</f>
        <v>203.31998177400004</v>
      </c>
      <c r="G18" s="36">
        <f>ROUND(E18*F18,2)</f>
        <v>203.32</v>
      </c>
    </row>
    <row r="19" spans="1:9" s="2" customFormat="1" ht="17.25" customHeight="1" x14ac:dyDescent="0.3">
      <c r="A19" s="73" t="s">
        <v>105</v>
      </c>
      <c r="B19" s="34" t="s">
        <v>6</v>
      </c>
      <c r="C19" s="35" t="s">
        <v>53</v>
      </c>
      <c r="D19" s="34" t="s">
        <v>34</v>
      </c>
      <c r="E19" s="38">
        <v>1</v>
      </c>
      <c r="F19" s="39">
        <f>1547.23*A177*B177</f>
        <v>2100.8599933230003</v>
      </c>
      <c r="G19" s="36">
        <f>ROUND(E19*F19,2)</f>
        <v>2100.86</v>
      </c>
    </row>
    <row r="20" spans="1:9" s="2" customFormat="1" ht="17.25" customHeight="1" x14ac:dyDescent="0.3">
      <c r="A20" s="73" t="s">
        <v>215</v>
      </c>
      <c r="B20" s="34" t="s">
        <v>7</v>
      </c>
      <c r="C20" s="35" t="s">
        <v>104</v>
      </c>
      <c r="D20" s="34" t="s">
        <v>34</v>
      </c>
      <c r="E20" s="38">
        <v>1</v>
      </c>
      <c r="F20" s="39">
        <f>1261.99*A177*B177</f>
        <v>1713.5553879990002</v>
      </c>
      <c r="G20" s="36">
        <f>ROUND(E20*F20,2)</f>
        <v>1713.56</v>
      </c>
    </row>
    <row r="21" spans="1:9" s="2" customFormat="1" ht="17.25" customHeight="1" thickBot="1" x14ac:dyDescent="0.35">
      <c r="A21" s="73" t="s">
        <v>216</v>
      </c>
      <c r="B21" s="34" t="s">
        <v>8</v>
      </c>
      <c r="C21" s="35" t="s">
        <v>217</v>
      </c>
      <c r="D21" s="34" t="s">
        <v>30</v>
      </c>
      <c r="E21" s="36">
        <v>21</v>
      </c>
      <c r="F21" s="36">
        <f>330.84*A177*B177</f>
        <v>449.22120188400004</v>
      </c>
      <c r="G21" s="37">
        <f>ROUND(E21*F21,2)</f>
        <v>9433.65</v>
      </c>
    </row>
    <row r="22" spans="1:9" ht="18" customHeight="1" thickBot="1" x14ac:dyDescent="0.35">
      <c r="A22" s="32"/>
      <c r="B22" s="87" t="s">
        <v>13</v>
      </c>
      <c r="C22" s="87"/>
      <c r="D22" s="87"/>
      <c r="E22" s="87"/>
      <c r="F22" s="88"/>
      <c r="G22" s="69">
        <f>SUM(G17:G21)</f>
        <v>26352.97</v>
      </c>
      <c r="H22" s="1"/>
    </row>
    <row r="23" spans="1:9" ht="18" customHeight="1" x14ac:dyDescent="0.3">
      <c r="A23" s="31"/>
      <c r="B23" s="29" t="s">
        <v>59</v>
      </c>
      <c r="C23" s="83" t="s">
        <v>9</v>
      </c>
      <c r="D23" s="83"/>
      <c r="E23" s="83"/>
      <c r="F23" s="83"/>
      <c r="G23" s="84"/>
      <c r="H23" s="1"/>
    </row>
    <row r="24" spans="1:9" ht="17.25" customHeight="1" x14ac:dyDescent="0.3">
      <c r="A24" s="73" t="s">
        <v>220</v>
      </c>
      <c r="B24" s="34" t="s">
        <v>60</v>
      </c>
      <c r="C24" s="40" t="s">
        <v>225</v>
      </c>
      <c r="D24" s="34" t="s">
        <v>31</v>
      </c>
      <c r="E24" s="36">
        <v>608.32000000000005</v>
      </c>
      <c r="F24" s="36">
        <f>14.28*A177*B177</f>
        <v>19.389671028000002</v>
      </c>
      <c r="G24" s="36">
        <f>ROUND(E24*F24,2)</f>
        <v>11795.12</v>
      </c>
      <c r="H24" s="1"/>
    </row>
    <row r="25" spans="1:9" ht="17.25" customHeight="1" x14ac:dyDescent="0.3">
      <c r="A25" s="73" t="s">
        <v>221</v>
      </c>
      <c r="B25" s="34" t="s">
        <v>334</v>
      </c>
      <c r="C25" s="40" t="s">
        <v>224</v>
      </c>
      <c r="D25" s="34" t="s">
        <v>31</v>
      </c>
      <c r="E25" s="36">
        <v>608.23</v>
      </c>
      <c r="F25" s="36">
        <f>1.61*A177</f>
        <v>1.9947900000000003</v>
      </c>
      <c r="G25" s="37">
        <f>ROUND(E25*F25,2)</f>
        <v>1213.29</v>
      </c>
      <c r="H25" s="1"/>
    </row>
    <row r="26" spans="1:9" ht="17.25" customHeight="1" thickBot="1" x14ac:dyDescent="0.35">
      <c r="A26" s="73" t="s">
        <v>223</v>
      </c>
      <c r="B26" s="34" t="s">
        <v>222</v>
      </c>
      <c r="C26" s="41" t="s">
        <v>429</v>
      </c>
      <c r="D26" s="34" t="s">
        <v>31</v>
      </c>
      <c r="E26" s="36">
        <v>608.23</v>
      </c>
      <c r="F26" s="36">
        <f>4.87*A177</f>
        <v>6.0339300000000007</v>
      </c>
      <c r="G26" s="37">
        <f>ROUND(E26*F26,2)</f>
        <v>3670.02</v>
      </c>
      <c r="H26" s="1"/>
    </row>
    <row r="27" spans="1:9" ht="18" customHeight="1" thickBot="1" x14ac:dyDescent="0.35">
      <c r="A27" s="32"/>
      <c r="B27" s="87" t="s">
        <v>14</v>
      </c>
      <c r="C27" s="87"/>
      <c r="D27" s="87"/>
      <c r="E27" s="87"/>
      <c r="F27" s="88"/>
      <c r="G27" s="69">
        <f>SUM(G24:G26)</f>
        <v>16678.43</v>
      </c>
      <c r="H27" s="1"/>
    </row>
    <row r="28" spans="1:9" ht="18" customHeight="1" x14ac:dyDescent="0.3">
      <c r="A28" s="31"/>
      <c r="B28" s="29" t="s">
        <v>351</v>
      </c>
      <c r="C28" s="83" t="s">
        <v>37</v>
      </c>
      <c r="D28" s="83"/>
      <c r="E28" s="83"/>
      <c r="F28" s="83"/>
      <c r="G28" s="84"/>
      <c r="H28" s="1"/>
    </row>
    <row r="29" spans="1:9" ht="17.25" customHeight="1" thickBot="1" x14ac:dyDescent="0.35">
      <c r="A29" s="73" t="s">
        <v>107</v>
      </c>
      <c r="B29" s="34" t="s">
        <v>352</v>
      </c>
      <c r="C29" s="35" t="s">
        <v>430</v>
      </c>
      <c r="D29" s="34" t="s">
        <v>30</v>
      </c>
      <c r="E29" s="36">
        <v>36.4</v>
      </c>
      <c r="F29" s="36">
        <f>23.25*A177</f>
        <v>28.806750000000001</v>
      </c>
      <c r="G29" s="36">
        <f>ROUND(E29*F29,2)</f>
        <v>1048.57</v>
      </c>
      <c r="H29" s="1"/>
    </row>
    <row r="30" spans="1:9" ht="18" customHeight="1" thickBot="1" x14ac:dyDescent="0.35">
      <c r="A30" s="32"/>
      <c r="B30" s="85" t="s">
        <v>358</v>
      </c>
      <c r="C30" s="85"/>
      <c r="D30" s="85"/>
      <c r="E30" s="85"/>
      <c r="F30" s="86"/>
      <c r="G30" s="70">
        <f>SUM(G29:G29)</f>
        <v>1048.57</v>
      </c>
      <c r="H30" s="1"/>
      <c r="I30" s="15"/>
    </row>
    <row r="31" spans="1:9" ht="18" customHeight="1" x14ac:dyDescent="0.3">
      <c r="A31" s="31"/>
      <c r="B31" s="29" t="s">
        <v>353</v>
      </c>
      <c r="C31" s="83" t="s">
        <v>38</v>
      </c>
      <c r="D31" s="83"/>
      <c r="E31" s="83"/>
      <c r="F31" s="83"/>
      <c r="G31" s="84"/>
      <c r="H31" s="1"/>
    </row>
    <row r="32" spans="1:9" ht="17.25" customHeight="1" x14ac:dyDescent="0.3">
      <c r="A32" s="73" t="s">
        <v>113</v>
      </c>
      <c r="B32" s="34" t="s">
        <v>354</v>
      </c>
      <c r="C32" s="35" t="s">
        <v>431</v>
      </c>
      <c r="D32" s="34" t="s">
        <v>30</v>
      </c>
      <c r="E32" s="42">
        <v>18.48</v>
      </c>
      <c r="F32" s="36">
        <f>49.61*A177*B177</f>
        <v>67.361455161000009</v>
      </c>
      <c r="G32" s="36">
        <f t="shared" ref="G32:G35" si="0">ROUND(E32*F32,2)</f>
        <v>1244.8399999999999</v>
      </c>
      <c r="H32" s="1"/>
    </row>
    <row r="33" spans="1:8" ht="17.25" customHeight="1" x14ac:dyDescent="0.3">
      <c r="A33" s="73" t="s">
        <v>108</v>
      </c>
      <c r="B33" s="34" t="s">
        <v>355</v>
      </c>
      <c r="C33" s="35" t="s">
        <v>114</v>
      </c>
      <c r="D33" s="34" t="s">
        <v>29</v>
      </c>
      <c r="E33" s="42">
        <v>21.46</v>
      </c>
      <c r="F33" s="36">
        <f>6.65*A177*B177</f>
        <v>9.0295036650000036</v>
      </c>
      <c r="G33" s="36">
        <f t="shared" si="0"/>
        <v>193.77</v>
      </c>
      <c r="H33" s="1"/>
    </row>
    <row r="34" spans="1:8" ht="17.25" customHeight="1" x14ac:dyDescent="0.3">
      <c r="A34" s="73" t="s">
        <v>109</v>
      </c>
      <c r="B34" s="34" t="s">
        <v>356</v>
      </c>
      <c r="C34" s="35" t="s">
        <v>111</v>
      </c>
      <c r="D34" s="34" t="s">
        <v>29</v>
      </c>
      <c r="E34" s="42">
        <v>20.84</v>
      </c>
      <c r="F34" s="36">
        <f>65.79*A177*B177</f>
        <v>89.330984379000029</v>
      </c>
      <c r="G34" s="36">
        <f t="shared" si="0"/>
        <v>1861.66</v>
      </c>
      <c r="H34" s="1"/>
    </row>
    <row r="35" spans="1:8" ht="17.25" customHeight="1" thickBot="1" x14ac:dyDescent="0.35">
      <c r="A35" s="73" t="s">
        <v>110</v>
      </c>
      <c r="B35" s="34" t="s">
        <v>357</v>
      </c>
      <c r="C35" s="35" t="s">
        <v>112</v>
      </c>
      <c r="D35" s="34" t="s">
        <v>30</v>
      </c>
      <c r="E35" s="42">
        <v>14.41</v>
      </c>
      <c r="F35" s="36">
        <f>213.52*A177*B177</f>
        <v>289.92174775200004</v>
      </c>
      <c r="G35" s="37">
        <f t="shared" si="0"/>
        <v>4177.7700000000004</v>
      </c>
      <c r="H35" s="1"/>
    </row>
    <row r="36" spans="1:8" ht="18" customHeight="1" thickBot="1" x14ac:dyDescent="0.35">
      <c r="A36" s="32"/>
      <c r="B36" s="85" t="s">
        <v>359</v>
      </c>
      <c r="C36" s="85"/>
      <c r="D36" s="85"/>
      <c r="E36" s="85"/>
      <c r="F36" s="86"/>
      <c r="G36" s="70">
        <f>SUM(G32:G35)</f>
        <v>7478.0400000000009</v>
      </c>
      <c r="H36" s="1"/>
    </row>
    <row r="37" spans="1:8" ht="18" customHeight="1" x14ac:dyDescent="0.3">
      <c r="A37" s="31"/>
      <c r="B37" s="29" t="s">
        <v>65</v>
      </c>
      <c r="C37" s="83" t="s">
        <v>75</v>
      </c>
      <c r="D37" s="83"/>
      <c r="E37" s="83"/>
      <c r="F37" s="83"/>
      <c r="G37" s="84"/>
      <c r="H37" s="1"/>
    </row>
    <row r="38" spans="1:8" s="15" customFormat="1" ht="17.25" customHeight="1" x14ac:dyDescent="0.3">
      <c r="A38" s="73" t="s">
        <v>116</v>
      </c>
      <c r="B38" s="34" t="s">
        <v>335</v>
      </c>
      <c r="C38" s="35" t="s">
        <v>115</v>
      </c>
      <c r="D38" s="34" t="s">
        <v>30</v>
      </c>
      <c r="E38" s="42">
        <v>28.11</v>
      </c>
      <c r="F38" s="36">
        <f>43*A177*B177</f>
        <v>58.386264300000008</v>
      </c>
      <c r="G38" s="36">
        <f t="shared" ref="G38:G43" si="1">ROUND(E38*F38,2)</f>
        <v>1641.24</v>
      </c>
      <c r="H38" s="14"/>
    </row>
    <row r="39" spans="1:8" s="15" customFormat="1" ht="17.25" customHeight="1" x14ac:dyDescent="0.3">
      <c r="A39" s="73" t="s">
        <v>117</v>
      </c>
      <c r="B39" s="34" t="s">
        <v>360</v>
      </c>
      <c r="C39" s="35" t="s">
        <v>118</v>
      </c>
      <c r="D39" s="34" t="s">
        <v>30</v>
      </c>
      <c r="E39" s="42">
        <v>7.37</v>
      </c>
      <c r="F39" s="36">
        <f>17.44*A177*B177</f>
        <v>23.680382544000004</v>
      </c>
      <c r="G39" s="36">
        <f t="shared" si="1"/>
        <v>174.52</v>
      </c>
      <c r="H39" s="14"/>
    </row>
    <row r="40" spans="1:8" s="15" customFormat="1" ht="17.25" customHeight="1" x14ac:dyDescent="0.3">
      <c r="A40" s="73" t="s">
        <v>122</v>
      </c>
      <c r="B40" s="34" t="s">
        <v>361</v>
      </c>
      <c r="C40" s="35" t="s">
        <v>126</v>
      </c>
      <c r="D40" s="34" t="s">
        <v>30</v>
      </c>
      <c r="E40" s="42">
        <v>44.89</v>
      </c>
      <c r="F40" s="36">
        <f>13.59*A177*B177</f>
        <v>18.452775159000002</v>
      </c>
      <c r="G40" s="36">
        <f t="shared" si="1"/>
        <v>828.35</v>
      </c>
      <c r="H40" s="14"/>
    </row>
    <row r="41" spans="1:8" s="15" customFormat="1" ht="17.25" customHeight="1" x14ac:dyDescent="0.3">
      <c r="A41" s="73" t="s">
        <v>121</v>
      </c>
      <c r="B41" s="34" t="s">
        <v>76</v>
      </c>
      <c r="C41" s="35" t="s">
        <v>123</v>
      </c>
      <c r="D41" s="34" t="s">
        <v>30</v>
      </c>
      <c r="E41" s="42">
        <v>39.5</v>
      </c>
      <c r="F41" s="36">
        <f>10.34*A177*B177</f>
        <v>14.039859834000001</v>
      </c>
      <c r="G41" s="36">
        <f t="shared" si="1"/>
        <v>554.57000000000005</v>
      </c>
      <c r="H41" s="14"/>
    </row>
    <row r="42" spans="1:8" s="15" customFormat="1" ht="17.25" customHeight="1" x14ac:dyDescent="0.3">
      <c r="A42" s="73" t="s">
        <v>119</v>
      </c>
      <c r="B42" s="34" t="s">
        <v>362</v>
      </c>
      <c r="C42" s="40" t="s">
        <v>120</v>
      </c>
      <c r="D42" s="34" t="s">
        <v>30</v>
      </c>
      <c r="E42" s="42">
        <v>6.68</v>
      </c>
      <c r="F42" s="36">
        <f>63.24*A177*B177</f>
        <v>85.868543124000027</v>
      </c>
      <c r="G42" s="36">
        <f t="shared" si="1"/>
        <v>573.6</v>
      </c>
      <c r="H42" s="14"/>
    </row>
    <row r="43" spans="1:8" s="15" customFormat="1" ht="17.25" customHeight="1" thickBot="1" x14ac:dyDescent="0.35">
      <c r="A43" s="73" t="s">
        <v>124</v>
      </c>
      <c r="B43" s="34" t="s">
        <v>363</v>
      </c>
      <c r="C43" s="35" t="s">
        <v>125</v>
      </c>
      <c r="D43" s="34" t="s">
        <v>29</v>
      </c>
      <c r="E43" s="42">
        <v>34.9</v>
      </c>
      <c r="F43" s="36">
        <f>72.01*A177*B177</f>
        <v>97.776625401000018</v>
      </c>
      <c r="G43" s="37">
        <f t="shared" si="1"/>
        <v>3412.4</v>
      </c>
      <c r="H43" s="14"/>
    </row>
    <row r="44" spans="1:8" ht="18" customHeight="1" thickBot="1" x14ac:dyDescent="0.35">
      <c r="A44" s="32"/>
      <c r="B44" s="85" t="s">
        <v>15</v>
      </c>
      <c r="C44" s="85"/>
      <c r="D44" s="85"/>
      <c r="E44" s="85"/>
      <c r="F44" s="86"/>
      <c r="G44" s="71">
        <f>SUM(G38:G43)</f>
        <v>7184.68</v>
      </c>
      <c r="H44" s="1"/>
    </row>
    <row r="45" spans="1:8" ht="18" customHeight="1" x14ac:dyDescent="0.3">
      <c r="A45" s="31"/>
      <c r="B45" s="29" t="s">
        <v>364</v>
      </c>
      <c r="C45" s="83" t="s">
        <v>208</v>
      </c>
      <c r="D45" s="83"/>
      <c r="E45" s="83"/>
      <c r="F45" s="83"/>
      <c r="G45" s="84"/>
      <c r="H45" s="1"/>
    </row>
    <row r="46" spans="1:8" ht="17.25" customHeight="1" x14ac:dyDescent="0.3">
      <c r="A46" s="73" t="s">
        <v>231</v>
      </c>
      <c r="B46" s="34" t="s">
        <v>365</v>
      </c>
      <c r="C46" s="35" t="s">
        <v>232</v>
      </c>
      <c r="D46" s="34" t="s">
        <v>30</v>
      </c>
      <c r="E46" s="36">
        <v>1638.09</v>
      </c>
      <c r="F46" s="36">
        <f>12.85*A177*B177</f>
        <v>17.447988285000001</v>
      </c>
      <c r="G46" s="36">
        <f t="shared" ref="G46:G51" si="2">ROUND(E46*F46,2)</f>
        <v>28581.38</v>
      </c>
      <c r="H46" s="1"/>
    </row>
    <row r="47" spans="1:8" ht="17.25" customHeight="1" x14ac:dyDescent="0.3">
      <c r="A47" s="73" t="s">
        <v>128</v>
      </c>
      <c r="B47" s="34" t="s">
        <v>366</v>
      </c>
      <c r="C47" s="35" t="s">
        <v>130</v>
      </c>
      <c r="D47" s="34" t="s">
        <v>30</v>
      </c>
      <c r="E47" s="36">
        <v>894.84</v>
      </c>
      <c r="F47" s="36">
        <f>11.68*A177*B177</f>
        <v>15.859338768000002</v>
      </c>
      <c r="G47" s="36">
        <f t="shared" si="2"/>
        <v>14191.57</v>
      </c>
      <c r="H47" s="1"/>
    </row>
    <row r="48" spans="1:8" ht="17.25" customHeight="1" x14ac:dyDescent="0.3">
      <c r="A48" s="73" t="s">
        <v>127</v>
      </c>
      <c r="B48" s="34" t="s">
        <v>367</v>
      </c>
      <c r="C48" s="35" t="s">
        <v>129</v>
      </c>
      <c r="D48" s="34" t="s">
        <v>30</v>
      </c>
      <c r="E48" s="36">
        <v>743.25</v>
      </c>
      <c r="F48" s="36">
        <f>(12.41+5.52)*A177*B177</f>
        <v>24.345714393000002</v>
      </c>
      <c r="G48" s="37">
        <f t="shared" si="2"/>
        <v>18094.95</v>
      </c>
      <c r="H48" s="1"/>
    </row>
    <row r="49" spans="1:8" ht="17.25" customHeight="1" x14ac:dyDescent="0.3">
      <c r="A49" s="73" t="s">
        <v>290</v>
      </c>
      <c r="B49" s="34" t="s">
        <v>368</v>
      </c>
      <c r="C49" s="35" t="s">
        <v>435</v>
      </c>
      <c r="D49" s="34" t="s">
        <v>30</v>
      </c>
      <c r="E49" s="36">
        <v>88.13</v>
      </c>
      <c r="F49" s="36">
        <f>20.86*A177</f>
        <v>25.84554</v>
      </c>
      <c r="G49" s="37">
        <f t="shared" si="2"/>
        <v>2277.77</v>
      </c>
      <c r="H49" s="1"/>
    </row>
    <row r="50" spans="1:8" ht="17.25" customHeight="1" x14ac:dyDescent="0.3">
      <c r="A50" s="73" t="s">
        <v>291</v>
      </c>
      <c r="B50" s="34" t="s">
        <v>369</v>
      </c>
      <c r="C50" s="35" t="s">
        <v>292</v>
      </c>
      <c r="D50" s="34" t="s">
        <v>30</v>
      </c>
      <c r="E50" s="36">
        <v>88.13</v>
      </c>
      <c r="F50" s="36">
        <f>22.49*A177</f>
        <v>27.865110000000001</v>
      </c>
      <c r="G50" s="37">
        <f t="shared" si="2"/>
        <v>2455.75</v>
      </c>
      <c r="H50" s="1"/>
    </row>
    <row r="51" spans="1:8" ht="17.25" customHeight="1" thickBot="1" x14ac:dyDescent="0.35">
      <c r="A51" s="73" t="s">
        <v>229</v>
      </c>
      <c r="B51" s="34" t="s">
        <v>370</v>
      </c>
      <c r="C51" s="35" t="s">
        <v>421</v>
      </c>
      <c r="D51" s="34" t="s">
        <v>30</v>
      </c>
      <c r="E51" s="36">
        <v>1638.09</v>
      </c>
      <c r="F51" s="36">
        <f>2.7*A177*B177</f>
        <v>3.6661142700000009</v>
      </c>
      <c r="G51" s="37">
        <f t="shared" si="2"/>
        <v>6005.43</v>
      </c>
      <c r="H51" s="1"/>
    </row>
    <row r="52" spans="1:8" ht="18" customHeight="1" thickBot="1" x14ac:dyDescent="0.35">
      <c r="A52" s="32"/>
      <c r="B52" s="85" t="s">
        <v>371</v>
      </c>
      <c r="C52" s="85"/>
      <c r="D52" s="85"/>
      <c r="E52" s="85"/>
      <c r="F52" s="86"/>
      <c r="G52" s="71">
        <f>SUM(G46:G51)</f>
        <v>71606.849999999977</v>
      </c>
      <c r="H52" s="1"/>
    </row>
    <row r="53" spans="1:8" ht="18" customHeight="1" x14ac:dyDescent="0.3">
      <c r="A53" s="31"/>
      <c r="B53" s="29" t="s">
        <v>66</v>
      </c>
      <c r="C53" s="83" t="s">
        <v>39</v>
      </c>
      <c r="D53" s="83"/>
      <c r="E53" s="83"/>
      <c r="F53" s="83"/>
      <c r="G53" s="84"/>
      <c r="H53" s="1"/>
    </row>
    <row r="54" spans="1:8" ht="16.5" customHeight="1" x14ac:dyDescent="0.2">
      <c r="A54" s="73" t="s">
        <v>235</v>
      </c>
      <c r="B54" s="43" t="s">
        <v>336</v>
      </c>
      <c r="C54" s="44" t="s">
        <v>241</v>
      </c>
      <c r="D54" s="43" t="s">
        <v>34</v>
      </c>
      <c r="E54" s="45">
        <v>6</v>
      </c>
      <c r="F54" s="45">
        <f>158.51*A177*B177</f>
        <v>215.22806405100002</v>
      </c>
      <c r="G54" s="45">
        <f t="shared" ref="G54:G85" si="3">ROUND(E54*F54,2)</f>
        <v>1291.3699999999999</v>
      </c>
      <c r="H54" s="1"/>
    </row>
    <row r="55" spans="1:8" ht="16.5" customHeight="1" x14ac:dyDescent="0.2">
      <c r="A55" s="73" t="s">
        <v>243</v>
      </c>
      <c r="B55" s="43" t="s">
        <v>77</v>
      </c>
      <c r="C55" s="44" t="s">
        <v>238</v>
      </c>
      <c r="D55" s="43" t="s">
        <v>29</v>
      </c>
      <c r="E55" s="45">
        <v>30</v>
      </c>
      <c r="F55" s="45">
        <f>34.24*A177*B177</f>
        <v>46.491760224000004</v>
      </c>
      <c r="G55" s="45">
        <f t="shared" ref="G55:G56" si="4">ROUND(E55*F55,2)</f>
        <v>1394.75</v>
      </c>
      <c r="H55" s="1"/>
    </row>
    <row r="56" spans="1:8" ht="18" customHeight="1" x14ac:dyDescent="0.2">
      <c r="A56" s="73" t="s">
        <v>244</v>
      </c>
      <c r="B56" s="43" t="s">
        <v>78</v>
      </c>
      <c r="C56" s="44" t="s">
        <v>237</v>
      </c>
      <c r="D56" s="43" t="s">
        <v>29</v>
      </c>
      <c r="E56" s="45">
        <v>61.2</v>
      </c>
      <c r="F56" s="46">
        <f>4.97*A177*B177</f>
        <v>6.7483658970000011</v>
      </c>
      <c r="G56" s="45">
        <f t="shared" si="4"/>
        <v>413</v>
      </c>
      <c r="H56" s="1"/>
    </row>
    <row r="57" spans="1:8" ht="18" customHeight="1" x14ac:dyDescent="0.2">
      <c r="A57" s="73" t="s">
        <v>236</v>
      </c>
      <c r="B57" s="43" t="s">
        <v>79</v>
      </c>
      <c r="C57" s="44" t="s">
        <v>242</v>
      </c>
      <c r="D57" s="43" t="s">
        <v>34</v>
      </c>
      <c r="E57" s="45">
        <v>12</v>
      </c>
      <c r="F57" s="45">
        <f>177.82*A177*B177</f>
        <v>241.44757018200002</v>
      </c>
      <c r="G57" s="45">
        <f t="shared" si="3"/>
        <v>2897.37</v>
      </c>
      <c r="H57" s="1"/>
    </row>
    <row r="58" spans="1:8" ht="18" customHeight="1" x14ac:dyDescent="0.2">
      <c r="A58" s="73" t="s">
        <v>243</v>
      </c>
      <c r="B58" s="43" t="s">
        <v>80</v>
      </c>
      <c r="C58" s="44" t="s">
        <v>239</v>
      </c>
      <c r="D58" s="43" t="s">
        <v>29</v>
      </c>
      <c r="E58" s="45">
        <v>61.2</v>
      </c>
      <c r="F58" s="45">
        <f>34.24*A177*B177</f>
        <v>46.491760224000004</v>
      </c>
      <c r="G58" s="45">
        <f t="shared" si="3"/>
        <v>2845.3</v>
      </c>
      <c r="H58" s="1"/>
    </row>
    <row r="59" spans="1:8" ht="18" customHeight="1" x14ac:dyDescent="0.2">
      <c r="A59" s="73" t="s">
        <v>244</v>
      </c>
      <c r="B59" s="43" t="s">
        <v>372</v>
      </c>
      <c r="C59" s="44" t="s">
        <v>240</v>
      </c>
      <c r="D59" s="43" t="s">
        <v>29</v>
      </c>
      <c r="E59" s="45">
        <v>124.8</v>
      </c>
      <c r="F59" s="46">
        <f>4.97*A177*B177</f>
        <v>6.7483658970000011</v>
      </c>
      <c r="G59" s="45">
        <f t="shared" si="3"/>
        <v>842.2</v>
      </c>
      <c r="H59" s="1"/>
    </row>
    <row r="60" spans="1:8" ht="33" customHeight="1" x14ac:dyDescent="0.2">
      <c r="A60" s="73" t="s">
        <v>245</v>
      </c>
      <c r="B60" s="43" t="s">
        <v>373</v>
      </c>
      <c r="C60" s="44" t="s">
        <v>139</v>
      </c>
      <c r="D60" s="43" t="s">
        <v>30</v>
      </c>
      <c r="E60" s="45">
        <v>3.78</v>
      </c>
      <c r="F60" s="45">
        <f>225.58*A177*B177</f>
        <v>306.29705815800003</v>
      </c>
      <c r="G60" s="45">
        <f t="shared" si="3"/>
        <v>1157.8</v>
      </c>
      <c r="H60" s="1"/>
    </row>
    <row r="61" spans="1:8" ht="17.25" customHeight="1" x14ac:dyDescent="0.2">
      <c r="A61" s="73" t="s">
        <v>131</v>
      </c>
      <c r="B61" s="43" t="s">
        <v>374</v>
      </c>
      <c r="C61" s="44" t="s">
        <v>132</v>
      </c>
      <c r="D61" s="43" t="s">
        <v>29</v>
      </c>
      <c r="E61" s="45">
        <v>10.199999999999999</v>
      </c>
      <c r="F61" s="45">
        <f>34.24*A177*B177</f>
        <v>46.491760224000004</v>
      </c>
      <c r="G61" s="45">
        <f t="shared" si="3"/>
        <v>474.22</v>
      </c>
      <c r="H61" s="1"/>
    </row>
    <row r="62" spans="1:8" ht="17.25" customHeight="1" x14ac:dyDescent="0.2">
      <c r="A62" s="73" t="s">
        <v>244</v>
      </c>
      <c r="B62" s="43" t="s">
        <v>375</v>
      </c>
      <c r="C62" s="44" t="s">
        <v>233</v>
      </c>
      <c r="D62" s="43" t="s">
        <v>29</v>
      </c>
      <c r="E62" s="45">
        <v>20.8</v>
      </c>
      <c r="F62" s="45">
        <f>4.97*A177*B177</f>
        <v>6.7483658970000011</v>
      </c>
      <c r="G62" s="45">
        <f t="shared" ref="G62" si="5">ROUND(E62*F62,2)</f>
        <v>140.37</v>
      </c>
      <c r="H62" s="1"/>
    </row>
    <row r="63" spans="1:8" s="17" customFormat="1" ht="34.5" customHeight="1" x14ac:dyDescent="0.2">
      <c r="A63" s="73" t="s">
        <v>246</v>
      </c>
      <c r="B63" s="43" t="s">
        <v>376</v>
      </c>
      <c r="C63" s="44" t="s">
        <v>140</v>
      </c>
      <c r="D63" s="43" t="s">
        <v>30</v>
      </c>
      <c r="E63" s="45">
        <v>2.1</v>
      </c>
      <c r="F63" s="45">
        <f>123.76*A177*B177</f>
        <v>168.04381557600004</v>
      </c>
      <c r="G63" s="45">
        <f t="shared" si="3"/>
        <v>352.89</v>
      </c>
      <c r="H63" s="16"/>
    </row>
    <row r="64" spans="1:8" s="17" customFormat="1" ht="18" customHeight="1" x14ac:dyDescent="0.2">
      <c r="A64" s="73" t="s">
        <v>131</v>
      </c>
      <c r="B64" s="43" t="s">
        <v>377</v>
      </c>
      <c r="C64" s="44" t="s">
        <v>134</v>
      </c>
      <c r="D64" s="43" t="s">
        <v>29</v>
      </c>
      <c r="E64" s="45">
        <v>5.2</v>
      </c>
      <c r="F64" s="45">
        <f>34.24*A177*B177</f>
        <v>46.491760224000004</v>
      </c>
      <c r="G64" s="45">
        <f t="shared" ref="G64:G66" si="6">ROUND(E64*F64,2)</f>
        <v>241.76</v>
      </c>
      <c r="H64" s="16"/>
    </row>
    <row r="65" spans="1:8" s="17" customFormat="1" ht="18" customHeight="1" x14ac:dyDescent="0.2">
      <c r="A65" s="73" t="s">
        <v>244</v>
      </c>
      <c r="B65" s="43" t="s">
        <v>378</v>
      </c>
      <c r="C65" s="44" t="s">
        <v>133</v>
      </c>
      <c r="D65" s="43" t="s">
        <v>29</v>
      </c>
      <c r="E65" s="45">
        <v>10.6</v>
      </c>
      <c r="F65" s="45">
        <f>4.97*A177*B177</f>
        <v>6.7483658970000011</v>
      </c>
      <c r="G65" s="45">
        <f t="shared" si="6"/>
        <v>71.53</v>
      </c>
      <c r="H65" s="16"/>
    </row>
    <row r="66" spans="1:8" s="17" customFormat="1" ht="35.25" customHeight="1" x14ac:dyDescent="0.2">
      <c r="A66" s="73" t="s">
        <v>245</v>
      </c>
      <c r="B66" s="43" t="s">
        <v>379</v>
      </c>
      <c r="C66" s="44" t="s">
        <v>248</v>
      </c>
      <c r="D66" s="43" t="s">
        <v>30</v>
      </c>
      <c r="E66" s="45">
        <v>2.52</v>
      </c>
      <c r="F66" s="45">
        <f>225.58*A177*B177</f>
        <v>306.29705815800003</v>
      </c>
      <c r="G66" s="45">
        <f t="shared" si="6"/>
        <v>771.87</v>
      </c>
      <c r="H66" s="16"/>
    </row>
    <row r="67" spans="1:8" s="17" customFormat="1" ht="18" customHeight="1" x14ac:dyDescent="0.2">
      <c r="A67" s="73" t="s">
        <v>131</v>
      </c>
      <c r="B67" s="43" t="s">
        <v>380</v>
      </c>
      <c r="C67" s="44" t="s">
        <v>234</v>
      </c>
      <c r="D67" s="43" t="s">
        <v>29</v>
      </c>
      <c r="E67" s="45">
        <v>5.4</v>
      </c>
      <c r="F67" s="45">
        <f>34.24*A177*B177</f>
        <v>46.491760224000004</v>
      </c>
      <c r="G67" s="45">
        <f t="shared" ref="G67:G68" si="7">ROUND(E67*F67,2)</f>
        <v>251.06</v>
      </c>
      <c r="H67" s="16"/>
    </row>
    <row r="68" spans="1:8" s="17" customFormat="1" ht="18" customHeight="1" x14ac:dyDescent="0.2">
      <c r="A68" s="73" t="s">
        <v>244</v>
      </c>
      <c r="B68" s="43" t="s">
        <v>381</v>
      </c>
      <c r="C68" s="44" t="s">
        <v>133</v>
      </c>
      <c r="D68" s="43" t="s">
        <v>29</v>
      </c>
      <c r="E68" s="45">
        <v>11</v>
      </c>
      <c r="F68" s="45">
        <f>4.97*A177*B177</f>
        <v>6.7483658970000011</v>
      </c>
      <c r="G68" s="45">
        <f t="shared" si="7"/>
        <v>74.23</v>
      </c>
      <c r="H68" s="16"/>
    </row>
    <row r="69" spans="1:8" s="17" customFormat="1" ht="49.5" customHeight="1" x14ac:dyDescent="0.2">
      <c r="A69" s="73" t="s">
        <v>252</v>
      </c>
      <c r="B69" s="43" t="s">
        <v>382</v>
      </c>
      <c r="C69" s="44" t="s">
        <v>247</v>
      </c>
      <c r="D69" s="43" t="s">
        <v>30</v>
      </c>
      <c r="E69" s="45">
        <v>2.52</v>
      </c>
      <c r="F69" s="45">
        <f>857.72*A177</f>
        <v>1062.7150800000002</v>
      </c>
      <c r="G69" s="45">
        <f t="shared" ref="G69" si="8">ROUND(E69*F69,2)</f>
        <v>2678.04</v>
      </c>
      <c r="H69" s="16"/>
    </row>
    <row r="70" spans="1:8" ht="36" customHeight="1" x14ac:dyDescent="0.2">
      <c r="A70" s="73" t="s">
        <v>252</v>
      </c>
      <c r="B70" s="43" t="s">
        <v>383</v>
      </c>
      <c r="C70" s="44" t="s">
        <v>249</v>
      </c>
      <c r="D70" s="43" t="s">
        <v>30</v>
      </c>
      <c r="E70" s="45">
        <v>1.2</v>
      </c>
      <c r="F70" s="45">
        <f>857.72*A177</f>
        <v>1062.7150800000002</v>
      </c>
      <c r="G70" s="45">
        <f t="shared" si="3"/>
        <v>1275.26</v>
      </c>
      <c r="H70" s="1"/>
    </row>
    <row r="71" spans="1:8" ht="35.25" customHeight="1" x14ac:dyDescent="0.2">
      <c r="A71" s="73" t="s">
        <v>252</v>
      </c>
      <c r="B71" s="43" t="s">
        <v>384</v>
      </c>
      <c r="C71" s="44" t="s">
        <v>250</v>
      </c>
      <c r="D71" s="47" t="s">
        <v>30</v>
      </c>
      <c r="E71" s="48">
        <v>2.2999999999999998</v>
      </c>
      <c r="F71" s="45">
        <f>857.72*A177</f>
        <v>1062.7150800000002</v>
      </c>
      <c r="G71" s="45">
        <f t="shared" si="3"/>
        <v>2444.2399999999998</v>
      </c>
      <c r="H71" s="1"/>
    </row>
    <row r="72" spans="1:8" ht="35.25" customHeight="1" x14ac:dyDescent="0.2">
      <c r="A72" s="73" t="s">
        <v>252</v>
      </c>
      <c r="B72" s="43" t="s">
        <v>385</v>
      </c>
      <c r="C72" s="44" t="s">
        <v>251</v>
      </c>
      <c r="D72" s="47" t="s">
        <v>30</v>
      </c>
      <c r="E72" s="48">
        <v>2.31</v>
      </c>
      <c r="F72" s="45">
        <f>857.72*A177</f>
        <v>1062.7150800000002</v>
      </c>
      <c r="G72" s="45">
        <f t="shared" ref="G72:G73" si="9">ROUND(E72*F72,2)</f>
        <v>2454.87</v>
      </c>
      <c r="H72" s="1"/>
    </row>
    <row r="73" spans="1:8" ht="50.25" customHeight="1" x14ac:dyDescent="0.2">
      <c r="A73" s="73" t="s">
        <v>160</v>
      </c>
      <c r="B73" s="43" t="s">
        <v>386</v>
      </c>
      <c r="C73" s="44" t="s">
        <v>141</v>
      </c>
      <c r="D73" s="47" t="s">
        <v>46</v>
      </c>
      <c r="E73" s="48">
        <v>4.68</v>
      </c>
      <c r="F73" s="45">
        <f>498*A177</f>
        <v>617.02200000000005</v>
      </c>
      <c r="G73" s="45">
        <f t="shared" si="9"/>
        <v>2887.66</v>
      </c>
      <c r="H73" s="1"/>
    </row>
    <row r="74" spans="1:8" s="22" customFormat="1" ht="48.75" customHeight="1" x14ac:dyDescent="0.2">
      <c r="A74" s="73" t="s">
        <v>160</v>
      </c>
      <c r="B74" s="43" t="s">
        <v>387</v>
      </c>
      <c r="C74" s="44" t="s">
        <v>142</v>
      </c>
      <c r="D74" s="47" t="s">
        <v>46</v>
      </c>
      <c r="E74" s="48">
        <v>14.02</v>
      </c>
      <c r="F74" s="45">
        <f>498*A177</f>
        <v>617.02200000000005</v>
      </c>
      <c r="G74" s="45">
        <f t="shared" si="3"/>
        <v>8650.65</v>
      </c>
      <c r="H74" s="21"/>
    </row>
    <row r="75" spans="1:8" s="22" customFormat="1" ht="30.75" customHeight="1" x14ac:dyDescent="0.2">
      <c r="A75" s="73" t="s">
        <v>253</v>
      </c>
      <c r="B75" s="43" t="s">
        <v>388</v>
      </c>
      <c r="C75" s="44" t="s">
        <v>254</v>
      </c>
      <c r="D75" s="43" t="s">
        <v>46</v>
      </c>
      <c r="E75" s="48">
        <v>19</v>
      </c>
      <c r="F75" s="45">
        <f>64.2*A177*B177</f>
        <v>87.172050420000019</v>
      </c>
      <c r="G75" s="45">
        <f t="shared" ref="G75" si="10">ROUND(E75*F75,2)</f>
        <v>1656.27</v>
      </c>
      <c r="H75" s="21"/>
    </row>
    <row r="76" spans="1:8" s="22" customFormat="1" ht="16.5" customHeight="1" x14ac:dyDescent="0.3">
      <c r="A76" s="73" t="s">
        <v>160</v>
      </c>
      <c r="B76" s="43" t="s">
        <v>389</v>
      </c>
      <c r="C76" s="44" t="s">
        <v>143</v>
      </c>
      <c r="D76" s="34" t="s">
        <v>34</v>
      </c>
      <c r="E76" s="48">
        <v>3</v>
      </c>
      <c r="F76" s="45">
        <f>98.5*A177</f>
        <v>122.04150000000001</v>
      </c>
      <c r="G76" s="45">
        <f t="shared" si="3"/>
        <v>366.12</v>
      </c>
      <c r="H76" s="21"/>
    </row>
    <row r="77" spans="1:8" s="22" customFormat="1" ht="16.5" customHeight="1" x14ac:dyDescent="0.3">
      <c r="A77" s="73" t="s">
        <v>160</v>
      </c>
      <c r="B77" s="43" t="s">
        <v>390</v>
      </c>
      <c r="C77" s="44" t="s">
        <v>144</v>
      </c>
      <c r="D77" s="34" t="s">
        <v>46</v>
      </c>
      <c r="E77" s="48">
        <v>3</v>
      </c>
      <c r="F77" s="45">
        <f>114.8*A177</f>
        <v>142.2372</v>
      </c>
      <c r="G77" s="45">
        <f t="shared" ref="G77" si="11">ROUND(E77*F77,2)</f>
        <v>426.71</v>
      </c>
      <c r="H77" s="21"/>
    </row>
    <row r="78" spans="1:8" s="17" customFormat="1" ht="33.75" customHeight="1" x14ac:dyDescent="0.2">
      <c r="A78" s="73" t="s">
        <v>255</v>
      </c>
      <c r="B78" s="43" t="s">
        <v>391</v>
      </c>
      <c r="C78" s="44" t="s">
        <v>257</v>
      </c>
      <c r="D78" s="43" t="s">
        <v>30</v>
      </c>
      <c r="E78" s="45">
        <v>6.4</v>
      </c>
      <c r="F78" s="45">
        <f>622.92*A177</f>
        <v>771.79787999999996</v>
      </c>
      <c r="G78" s="45">
        <f t="shared" si="3"/>
        <v>4939.51</v>
      </c>
      <c r="H78" s="16"/>
    </row>
    <row r="79" spans="1:8" s="17" customFormat="1" ht="32.25" customHeight="1" x14ac:dyDescent="0.2">
      <c r="A79" s="73" t="s">
        <v>255</v>
      </c>
      <c r="B79" s="43" t="s">
        <v>392</v>
      </c>
      <c r="C79" s="44" t="s">
        <v>256</v>
      </c>
      <c r="D79" s="43" t="s">
        <v>30</v>
      </c>
      <c r="E79" s="45">
        <v>16</v>
      </c>
      <c r="F79" s="45">
        <f>622.92*A177</f>
        <v>771.79787999999996</v>
      </c>
      <c r="G79" s="45">
        <f t="shared" ref="G79:G82" si="12">ROUND(E79*F79,2)</f>
        <v>12348.77</v>
      </c>
      <c r="H79" s="16"/>
    </row>
    <row r="80" spans="1:8" s="17" customFormat="1" ht="34.5" customHeight="1" x14ac:dyDescent="0.2">
      <c r="A80" s="73" t="s">
        <v>255</v>
      </c>
      <c r="B80" s="43" t="s">
        <v>393</v>
      </c>
      <c r="C80" s="44" t="s">
        <v>258</v>
      </c>
      <c r="D80" s="43" t="s">
        <v>30</v>
      </c>
      <c r="E80" s="45">
        <v>4.4000000000000004</v>
      </c>
      <c r="F80" s="45">
        <f>622.92*A177</f>
        <v>771.79787999999996</v>
      </c>
      <c r="G80" s="45">
        <f t="shared" si="12"/>
        <v>3395.91</v>
      </c>
      <c r="H80" s="16"/>
    </row>
    <row r="81" spans="1:8" s="17" customFormat="1" ht="31.5" customHeight="1" x14ac:dyDescent="0.2">
      <c r="A81" s="73" t="s">
        <v>255</v>
      </c>
      <c r="B81" s="43" t="s">
        <v>394</v>
      </c>
      <c r="C81" s="44" t="s">
        <v>259</v>
      </c>
      <c r="D81" s="43" t="s">
        <v>30</v>
      </c>
      <c r="E81" s="45">
        <v>0.76</v>
      </c>
      <c r="F81" s="45">
        <f>622.92*A177</f>
        <v>771.79787999999996</v>
      </c>
      <c r="G81" s="45">
        <f t="shared" si="12"/>
        <v>586.57000000000005</v>
      </c>
      <c r="H81" s="16"/>
    </row>
    <row r="82" spans="1:8" s="17" customFormat="1" ht="31.5" customHeight="1" x14ac:dyDescent="0.2">
      <c r="A82" s="73" t="s">
        <v>255</v>
      </c>
      <c r="B82" s="43" t="s">
        <v>395</v>
      </c>
      <c r="C82" s="44" t="s">
        <v>260</v>
      </c>
      <c r="D82" s="43" t="s">
        <v>30</v>
      </c>
      <c r="E82" s="45">
        <v>0.8</v>
      </c>
      <c r="F82" s="45">
        <f>622.92*A177</f>
        <v>771.79787999999996</v>
      </c>
      <c r="G82" s="45">
        <f t="shared" si="12"/>
        <v>617.44000000000005</v>
      </c>
      <c r="H82" s="16"/>
    </row>
    <row r="83" spans="1:8" s="17" customFormat="1" ht="17.25" customHeight="1" x14ac:dyDescent="0.3">
      <c r="A83" s="73" t="s">
        <v>262</v>
      </c>
      <c r="B83" s="43" t="s">
        <v>396</v>
      </c>
      <c r="C83" s="49" t="s">
        <v>146</v>
      </c>
      <c r="D83" s="34" t="s">
        <v>30</v>
      </c>
      <c r="E83" s="36">
        <v>1.6</v>
      </c>
      <c r="F83" s="36">
        <f>568.56*A177*B177</f>
        <v>772.002196056</v>
      </c>
      <c r="G83" s="36">
        <f t="shared" si="3"/>
        <v>1235.2</v>
      </c>
      <c r="H83" s="16"/>
    </row>
    <row r="84" spans="1:8" s="17" customFormat="1" ht="33.75" customHeight="1" x14ac:dyDescent="0.2">
      <c r="A84" s="73" t="s">
        <v>261</v>
      </c>
      <c r="B84" s="43" t="s">
        <v>397</v>
      </c>
      <c r="C84" s="44" t="s">
        <v>145</v>
      </c>
      <c r="D84" s="43" t="s">
        <v>30</v>
      </c>
      <c r="E84" s="45">
        <v>0.66</v>
      </c>
      <c r="F84" s="45">
        <f>272.08*A177*B177</f>
        <v>369.43569280800006</v>
      </c>
      <c r="G84" s="45">
        <f t="shared" ref="G84" si="13">ROUND(E84*F84,2)</f>
        <v>243.83</v>
      </c>
      <c r="H84" s="16"/>
    </row>
    <row r="85" spans="1:8" s="17" customFormat="1" ht="17.25" customHeight="1" thickBot="1" x14ac:dyDescent="0.25">
      <c r="A85" s="73" t="s">
        <v>160</v>
      </c>
      <c r="B85" s="43" t="s">
        <v>398</v>
      </c>
      <c r="C85" s="44" t="s">
        <v>263</v>
      </c>
      <c r="D85" s="43" t="s">
        <v>30</v>
      </c>
      <c r="E85" s="45">
        <v>23.5</v>
      </c>
      <c r="F85" s="45">
        <f>148*A177</f>
        <v>183.37200000000001</v>
      </c>
      <c r="G85" s="50">
        <f t="shared" si="3"/>
        <v>4309.24</v>
      </c>
      <c r="H85" s="16"/>
    </row>
    <row r="86" spans="1:8" ht="18" customHeight="1" thickBot="1" x14ac:dyDescent="0.35">
      <c r="A86" s="32"/>
      <c r="B86" s="85" t="s">
        <v>16</v>
      </c>
      <c r="C86" s="85"/>
      <c r="D86" s="85"/>
      <c r="E86" s="85"/>
      <c r="F86" s="86"/>
      <c r="G86" s="70">
        <f>SUM(G54:G85)</f>
        <v>63736.010000000009</v>
      </c>
      <c r="H86" s="1"/>
    </row>
    <row r="87" spans="1:8" ht="18" customHeight="1" x14ac:dyDescent="0.3">
      <c r="A87" s="51"/>
      <c r="B87" s="52" t="s">
        <v>67</v>
      </c>
      <c r="C87" s="89" t="s">
        <v>40</v>
      </c>
      <c r="D87" s="89"/>
      <c r="E87" s="89"/>
      <c r="F87" s="89"/>
      <c r="G87" s="90"/>
      <c r="H87" s="1"/>
    </row>
    <row r="88" spans="1:8" ht="17.25" customHeight="1" x14ac:dyDescent="0.2">
      <c r="A88" s="73" t="s">
        <v>264</v>
      </c>
      <c r="B88" s="43" t="s">
        <v>337</v>
      </c>
      <c r="C88" s="53" t="s">
        <v>155</v>
      </c>
      <c r="D88" s="47" t="s">
        <v>30</v>
      </c>
      <c r="E88" s="54">
        <v>0.66</v>
      </c>
      <c r="F88" s="45">
        <f>63.18*A177*B177</f>
        <v>85.787073918000019</v>
      </c>
      <c r="G88" s="45">
        <f>ROUND(E88*F88,2)</f>
        <v>56.62</v>
      </c>
      <c r="H88" s="1"/>
    </row>
    <row r="89" spans="1:8" ht="17.25" customHeight="1" x14ac:dyDescent="0.3">
      <c r="A89" s="73" t="s">
        <v>265</v>
      </c>
      <c r="B89" s="43" t="s">
        <v>338</v>
      </c>
      <c r="C89" s="53" t="s">
        <v>175</v>
      </c>
      <c r="D89" s="34" t="s">
        <v>30</v>
      </c>
      <c r="E89" s="42">
        <v>0.91</v>
      </c>
      <c r="F89" s="36">
        <f>332*A177</f>
        <v>411.34800000000001</v>
      </c>
      <c r="G89" s="45">
        <f>ROUND(E89*F89,2)</f>
        <v>374.33</v>
      </c>
      <c r="H89" s="1"/>
    </row>
    <row r="90" spans="1:8" ht="17.25" customHeight="1" thickBot="1" x14ac:dyDescent="0.35">
      <c r="A90" s="73" t="s">
        <v>160</v>
      </c>
      <c r="B90" s="43" t="s">
        <v>339</v>
      </c>
      <c r="C90" s="53" t="s">
        <v>176</v>
      </c>
      <c r="D90" s="34" t="s">
        <v>30</v>
      </c>
      <c r="E90" s="42">
        <v>2.25</v>
      </c>
      <c r="F90" s="36">
        <f>398*A177</f>
        <v>493.12200000000001</v>
      </c>
      <c r="G90" s="50">
        <f>ROUND(E90*F90,2)</f>
        <v>1109.52</v>
      </c>
      <c r="H90" s="1"/>
    </row>
    <row r="91" spans="1:8" ht="18" customHeight="1" thickBot="1" x14ac:dyDescent="0.35">
      <c r="A91" s="32"/>
      <c r="B91" s="85" t="s">
        <v>17</v>
      </c>
      <c r="C91" s="85"/>
      <c r="D91" s="85"/>
      <c r="E91" s="85"/>
      <c r="F91" s="86"/>
      <c r="G91" s="70">
        <f>SUM(G88:G90)</f>
        <v>1540.47</v>
      </c>
      <c r="H91" s="1"/>
    </row>
    <row r="92" spans="1:8" ht="18" customHeight="1" x14ac:dyDescent="0.3">
      <c r="A92" s="31"/>
      <c r="B92" s="29" t="s">
        <v>68</v>
      </c>
      <c r="C92" s="83" t="s">
        <v>45</v>
      </c>
      <c r="D92" s="83"/>
      <c r="E92" s="83"/>
      <c r="F92" s="83"/>
      <c r="G92" s="84"/>
      <c r="H92" s="1"/>
    </row>
    <row r="93" spans="1:8" ht="33.75" customHeight="1" x14ac:dyDescent="0.2">
      <c r="A93" s="73" t="s">
        <v>158</v>
      </c>
      <c r="B93" s="43" t="s">
        <v>81</v>
      </c>
      <c r="C93" s="44" t="s">
        <v>434</v>
      </c>
      <c r="D93" s="43" t="s">
        <v>46</v>
      </c>
      <c r="E93" s="45">
        <v>1</v>
      </c>
      <c r="F93" s="45">
        <f>1800*A177</f>
        <v>2230.2000000000003</v>
      </c>
      <c r="G93" s="45">
        <f t="shared" ref="G93:G107" si="14">ROUND(E93*F93,2)</f>
        <v>2230.1999999999998</v>
      </c>
      <c r="H93" s="1"/>
    </row>
    <row r="94" spans="1:8" ht="17.25" customHeight="1" x14ac:dyDescent="0.3">
      <c r="A94" s="73" t="s">
        <v>266</v>
      </c>
      <c r="B94" s="43" t="s">
        <v>82</v>
      </c>
      <c r="C94" s="35" t="s">
        <v>166</v>
      </c>
      <c r="D94" s="34" t="s">
        <v>34</v>
      </c>
      <c r="E94" s="36">
        <v>8</v>
      </c>
      <c r="F94" s="36">
        <f>25.73*A177</f>
        <v>31.879470000000005</v>
      </c>
      <c r="G94" s="45">
        <f t="shared" si="14"/>
        <v>255.04</v>
      </c>
      <c r="H94" s="1"/>
    </row>
    <row r="95" spans="1:8" ht="33" customHeight="1" x14ac:dyDescent="0.2">
      <c r="A95" s="73" t="s">
        <v>267</v>
      </c>
      <c r="B95" s="43" t="s">
        <v>83</v>
      </c>
      <c r="C95" s="44" t="s">
        <v>167</v>
      </c>
      <c r="D95" s="43" t="s">
        <v>46</v>
      </c>
      <c r="E95" s="45">
        <v>1</v>
      </c>
      <c r="F95" s="45">
        <f>1146.75*A177</f>
        <v>1420.8232500000001</v>
      </c>
      <c r="G95" s="45">
        <f t="shared" si="14"/>
        <v>1420.82</v>
      </c>
      <c r="H95" s="1"/>
    </row>
    <row r="96" spans="1:8" ht="17.25" customHeight="1" x14ac:dyDescent="0.3">
      <c r="A96" s="73" t="s">
        <v>268</v>
      </c>
      <c r="B96" s="43" t="s">
        <v>230</v>
      </c>
      <c r="C96" s="35" t="s">
        <v>171</v>
      </c>
      <c r="D96" s="34" t="s">
        <v>34</v>
      </c>
      <c r="E96" s="36">
        <v>16</v>
      </c>
      <c r="F96" s="36">
        <f>37.94*A177</f>
        <v>47.007660000000001</v>
      </c>
      <c r="G96" s="45">
        <f t="shared" ref="G96" si="15">ROUND(E96*F96,2)</f>
        <v>752.12</v>
      </c>
      <c r="H96" s="1"/>
    </row>
    <row r="97" spans="1:8" ht="17.25" customHeight="1" x14ac:dyDescent="0.3">
      <c r="A97" s="73" t="s">
        <v>270</v>
      </c>
      <c r="B97" s="43" t="s">
        <v>288</v>
      </c>
      <c r="C97" s="55" t="s">
        <v>170</v>
      </c>
      <c r="D97" s="34" t="s">
        <v>34</v>
      </c>
      <c r="E97" s="36">
        <v>6</v>
      </c>
      <c r="F97" s="36">
        <f>17.19*A177*B177</f>
        <v>23.340927519000008</v>
      </c>
      <c r="G97" s="45">
        <f t="shared" si="14"/>
        <v>140.05000000000001</v>
      </c>
      <c r="H97" s="1"/>
    </row>
    <row r="98" spans="1:8" ht="32.25" customHeight="1" x14ac:dyDescent="0.2">
      <c r="A98" s="73" t="s">
        <v>159</v>
      </c>
      <c r="B98" s="43" t="s">
        <v>289</v>
      </c>
      <c r="C98" s="44" t="s">
        <v>164</v>
      </c>
      <c r="D98" s="43" t="s">
        <v>46</v>
      </c>
      <c r="E98" s="45">
        <v>1</v>
      </c>
      <c r="F98" s="45">
        <f>462.79*A177</f>
        <v>573.39681000000007</v>
      </c>
      <c r="G98" s="45">
        <f t="shared" si="14"/>
        <v>573.4</v>
      </c>
      <c r="H98" s="1"/>
    </row>
    <row r="99" spans="1:8" ht="16.5" customHeight="1" x14ac:dyDescent="0.2">
      <c r="A99" s="73" t="s">
        <v>271</v>
      </c>
      <c r="B99" s="43" t="s">
        <v>399</v>
      </c>
      <c r="C99" s="44" t="s">
        <v>169</v>
      </c>
      <c r="D99" s="43" t="s">
        <v>46</v>
      </c>
      <c r="E99" s="45">
        <v>1</v>
      </c>
      <c r="F99" s="45">
        <f>142.51*A177*B177</f>
        <v>193.50294245100002</v>
      </c>
      <c r="G99" s="45">
        <f t="shared" ref="G99" si="16">ROUND(E99*F99,2)</f>
        <v>193.5</v>
      </c>
      <c r="H99" s="1"/>
    </row>
    <row r="100" spans="1:8" ht="16.5" customHeight="1" x14ac:dyDescent="0.3">
      <c r="A100" s="73" t="s">
        <v>272</v>
      </c>
      <c r="B100" s="43" t="s">
        <v>400</v>
      </c>
      <c r="C100" s="44" t="s">
        <v>278</v>
      </c>
      <c r="D100" s="34" t="s">
        <v>34</v>
      </c>
      <c r="E100" s="45">
        <v>1</v>
      </c>
      <c r="F100" s="36">
        <f>13.33*A177</f>
        <v>16.515870000000003</v>
      </c>
      <c r="G100" s="45">
        <f t="shared" ref="G100:G101" si="17">ROUND(E100*F100,2)</f>
        <v>16.52</v>
      </c>
      <c r="H100" s="1"/>
    </row>
    <row r="101" spans="1:8" ht="16.5" customHeight="1" x14ac:dyDescent="0.3">
      <c r="A101" s="73" t="s">
        <v>275</v>
      </c>
      <c r="B101" s="43" t="s">
        <v>401</v>
      </c>
      <c r="C101" s="44" t="s">
        <v>273</v>
      </c>
      <c r="D101" s="34" t="s">
        <v>34</v>
      </c>
      <c r="E101" s="45">
        <v>13</v>
      </c>
      <c r="F101" s="36">
        <f>14.27*A177</f>
        <v>17.680530000000001</v>
      </c>
      <c r="G101" s="45">
        <f t="shared" si="17"/>
        <v>229.85</v>
      </c>
      <c r="H101" s="1"/>
    </row>
    <row r="102" spans="1:8" ht="17.25" customHeight="1" x14ac:dyDescent="0.3">
      <c r="A102" s="73" t="s">
        <v>276</v>
      </c>
      <c r="B102" s="43" t="s">
        <v>402</v>
      </c>
      <c r="C102" s="44" t="s">
        <v>274</v>
      </c>
      <c r="D102" s="34" t="s">
        <v>34</v>
      </c>
      <c r="E102" s="45">
        <v>1</v>
      </c>
      <c r="F102" s="36">
        <f>14.27*A177</f>
        <v>17.680530000000001</v>
      </c>
      <c r="G102" s="45">
        <f t="shared" si="14"/>
        <v>17.68</v>
      </c>
      <c r="H102" s="1"/>
    </row>
    <row r="103" spans="1:8" ht="17.25" customHeight="1" x14ac:dyDescent="0.3">
      <c r="A103" s="73" t="s">
        <v>277</v>
      </c>
      <c r="B103" s="43" t="s">
        <v>403</v>
      </c>
      <c r="C103" s="44" t="s">
        <v>279</v>
      </c>
      <c r="D103" s="34" t="s">
        <v>34</v>
      </c>
      <c r="E103" s="45">
        <v>3</v>
      </c>
      <c r="F103" s="36">
        <f>15.51*A177</f>
        <v>19.216890000000003</v>
      </c>
      <c r="G103" s="45">
        <f t="shared" si="14"/>
        <v>57.65</v>
      </c>
      <c r="H103" s="1"/>
    </row>
    <row r="104" spans="1:8" ht="17.25" customHeight="1" x14ac:dyDescent="0.3">
      <c r="A104" s="73" t="s">
        <v>160</v>
      </c>
      <c r="B104" s="43" t="s">
        <v>404</v>
      </c>
      <c r="C104" s="35" t="s">
        <v>280</v>
      </c>
      <c r="D104" s="34" t="s">
        <v>34</v>
      </c>
      <c r="E104" s="36">
        <v>1</v>
      </c>
      <c r="F104" s="36">
        <f>429*A177</f>
        <v>531.53100000000006</v>
      </c>
      <c r="G104" s="45">
        <f t="shared" ref="G104" si="18">ROUND(E104*F104,2)</f>
        <v>531.53</v>
      </c>
      <c r="H104" s="1"/>
    </row>
    <row r="105" spans="1:8" ht="17.25" customHeight="1" x14ac:dyDescent="0.3">
      <c r="A105" s="73" t="s">
        <v>281</v>
      </c>
      <c r="B105" s="43" t="s">
        <v>405</v>
      </c>
      <c r="C105" s="35" t="s">
        <v>173</v>
      </c>
      <c r="D105" s="34" t="s">
        <v>50</v>
      </c>
      <c r="E105" s="36">
        <v>1</v>
      </c>
      <c r="F105" s="36">
        <f>12.83*A177*B177</f>
        <v>17.420831883000002</v>
      </c>
      <c r="G105" s="45">
        <f t="shared" ref="G105:G106" si="19">ROUND(E105*F105,2)</f>
        <v>17.420000000000002</v>
      </c>
      <c r="H105" s="1"/>
    </row>
    <row r="106" spans="1:8" ht="17.25" customHeight="1" x14ac:dyDescent="0.3">
      <c r="A106" s="73" t="s">
        <v>282</v>
      </c>
      <c r="B106" s="43" t="s">
        <v>406</v>
      </c>
      <c r="C106" s="35" t="s">
        <v>163</v>
      </c>
      <c r="D106" s="34" t="s">
        <v>50</v>
      </c>
      <c r="E106" s="36">
        <v>4</v>
      </c>
      <c r="F106" s="36">
        <f>47.42*A177*B177</f>
        <v>64.387829142000015</v>
      </c>
      <c r="G106" s="50">
        <f t="shared" si="19"/>
        <v>257.55</v>
      </c>
      <c r="H106" s="1"/>
    </row>
    <row r="107" spans="1:8" ht="17.25" customHeight="1" thickBot="1" x14ac:dyDescent="0.35">
      <c r="A107" s="73" t="s">
        <v>160</v>
      </c>
      <c r="B107" s="43" t="s">
        <v>407</v>
      </c>
      <c r="C107" s="35" t="s">
        <v>433</v>
      </c>
      <c r="D107" s="34" t="s">
        <v>34</v>
      </c>
      <c r="E107" s="36">
        <v>1</v>
      </c>
      <c r="F107" s="36">
        <f>4500*A177</f>
        <v>5575.5000000000009</v>
      </c>
      <c r="G107" s="50">
        <f t="shared" si="14"/>
        <v>5575.5</v>
      </c>
      <c r="H107" s="1"/>
    </row>
    <row r="108" spans="1:8" ht="18" customHeight="1" thickBot="1" x14ac:dyDescent="0.35">
      <c r="A108" s="32"/>
      <c r="B108" s="87" t="s">
        <v>18</v>
      </c>
      <c r="C108" s="87"/>
      <c r="D108" s="87"/>
      <c r="E108" s="87"/>
      <c r="F108" s="88"/>
      <c r="G108" s="70">
        <f>SUM(G93:G107)</f>
        <v>12268.83</v>
      </c>
      <c r="H108" s="1"/>
    </row>
    <row r="109" spans="1:8" ht="18" customHeight="1" x14ac:dyDescent="0.3">
      <c r="A109" s="31"/>
      <c r="B109" s="29" t="s">
        <v>69</v>
      </c>
      <c r="C109" s="83" t="s">
        <v>41</v>
      </c>
      <c r="D109" s="83"/>
      <c r="E109" s="83"/>
      <c r="F109" s="83"/>
      <c r="G109" s="84"/>
      <c r="H109" s="1"/>
    </row>
    <row r="110" spans="1:8" ht="17.25" customHeight="1" x14ac:dyDescent="0.3">
      <c r="A110" s="73" t="s">
        <v>285</v>
      </c>
      <c r="B110" s="34" t="s">
        <v>84</v>
      </c>
      <c r="C110" s="35" t="s">
        <v>172</v>
      </c>
      <c r="D110" s="34" t="s">
        <v>34</v>
      </c>
      <c r="E110" s="36">
        <v>1</v>
      </c>
      <c r="F110" s="36">
        <f>58.75*A177</f>
        <v>72.791250000000005</v>
      </c>
      <c r="G110" s="45">
        <f t="shared" ref="G110:G135" si="20">ROUND(E110*F110,2)</f>
        <v>72.790000000000006</v>
      </c>
      <c r="H110" s="1"/>
    </row>
    <row r="111" spans="1:8" ht="17.25" customHeight="1" x14ac:dyDescent="0.3">
      <c r="A111" s="73" t="s">
        <v>283</v>
      </c>
      <c r="B111" s="34" t="s">
        <v>85</v>
      </c>
      <c r="C111" s="35" t="s">
        <v>284</v>
      </c>
      <c r="D111" s="34" t="s">
        <v>46</v>
      </c>
      <c r="E111" s="36">
        <v>1</v>
      </c>
      <c r="F111" s="36">
        <f>(143.88+170)*A177</f>
        <v>388.89732000000004</v>
      </c>
      <c r="G111" s="45">
        <f t="shared" si="20"/>
        <v>388.9</v>
      </c>
      <c r="H111" s="1"/>
    </row>
    <row r="112" spans="1:8" ht="17.25" customHeight="1" x14ac:dyDescent="0.3">
      <c r="A112" s="73" t="s">
        <v>286</v>
      </c>
      <c r="B112" s="34" t="s">
        <v>86</v>
      </c>
      <c r="C112" s="35" t="s">
        <v>207</v>
      </c>
      <c r="D112" s="34" t="s">
        <v>34</v>
      </c>
      <c r="E112" s="36">
        <v>1</v>
      </c>
      <c r="F112" s="36">
        <f>437.73*A177</f>
        <v>542.34747000000004</v>
      </c>
      <c r="G112" s="45">
        <f t="shared" si="20"/>
        <v>542.35</v>
      </c>
      <c r="H112" s="1"/>
    </row>
    <row r="113" spans="1:8" ht="17.25" customHeight="1" x14ac:dyDescent="0.3">
      <c r="A113" s="73" t="s">
        <v>287</v>
      </c>
      <c r="B113" s="34" t="s">
        <v>87</v>
      </c>
      <c r="C113" s="35" t="s">
        <v>427</v>
      </c>
      <c r="D113" s="34" t="s">
        <v>34</v>
      </c>
      <c r="E113" s="36">
        <v>4</v>
      </c>
      <c r="F113" s="36">
        <f>706.67*A177</f>
        <v>875.56412999999998</v>
      </c>
      <c r="G113" s="45">
        <f t="shared" si="20"/>
        <v>3502.26</v>
      </c>
      <c r="H113" s="1"/>
    </row>
    <row r="114" spans="1:8" ht="31.5" customHeight="1" x14ac:dyDescent="0.3">
      <c r="A114" s="73" t="s">
        <v>293</v>
      </c>
      <c r="B114" s="34" t="s">
        <v>88</v>
      </c>
      <c r="C114" s="56" t="s">
        <v>174</v>
      </c>
      <c r="D114" s="43" t="s">
        <v>30</v>
      </c>
      <c r="E114" s="45">
        <v>9.5500000000000007</v>
      </c>
      <c r="F114" s="45">
        <f>1567.2*A177*B177</f>
        <v>2127.9756607200006</v>
      </c>
      <c r="G114" s="45">
        <f t="shared" si="20"/>
        <v>20322.169999999998</v>
      </c>
      <c r="H114" s="1"/>
    </row>
    <row r="115" spans="1:8" ht="31.5" customHeight="1" x14ac:dyDescent="0.3">
      <c r="A115" s="73" t="s">
        <v>295</v>
      </c>
      <c r="B115" s="34" t="s">
        <v>89</v>
      </c>
      <c r="C115" s="56" t="s">
        <v>294</v>
      </c>
      <c r="D115" s="43" t="s">
        <v>34</v>
      </c>
      <c r="E115" s="45">
        <v>10</v>
      </c>
      <c r="F115" s="45">
        <f>418.77*A177*B177</f>
        <v>568.61432327700004</v>
      </c>
      <c r="G115" s="45">
        <f t="shared" si="20"/>
        <v>5686.14</v>
      </c>
      <c r="H115" s="1"/>
    </row>
    <row r="116" spans="1:8" ht="32.25" customHeight="1" x14ac:dyDescent="0.3">
      <c r="A116" s="73" t="s">
        <v>296</v>
      </c>
      <c r="B116" s="34" t="s">
        <v>90</v>
      </c>
      <c r="C116" s="40" t="s">
        <v>202</v>
      </c>
      <c r="D116" s="43" t="s">
        <v>34</v>
      </c>
      <c r="E116" s="45">
        <v>1</v>
      </c>
      <c r="F116" s="45">
        <f>472.82*A177*B177</f>
        <v>642.00449968200007</v>
      </c>
      <c r="G116" s="45">
        <f t="shared" si="20"/>
        <v>642</v>
      </c>
      <c r="H116" s="1"/>
    </row>
    <row r="117" spans="1:8" ht="17.25" customHeight="1" x14ac:dyDescent="0.3">
      <c r="A117" s="73" t="s">
        <v>297</v>
      </c>
      <c r="B117" s="34" t="s">
        <v>91</v>
      </c>
      <c r="C117" s="35" t="s">
        <v>204</v>
      </c>
      <c r="D117" s="34" t="s">
        <v>34</v>
      </c>
      <c r="E117" s="36">
        <v>1</v>
      </c>
      <c r="F117" s="36">
        <f>2356.33*A177*B177</f>
        <v>3199.4722362330003</v>
      </c>
      <c r="G117" s="45">
        <f t="shared" si="20"/>
        <v>3199.47</v>
      </c>
      <c r="H117" s="1"/>
    </row>
    <row r="118" spans="1:8" ht="17.25" customHeight="1" x14ac:dyDescent="0.3">
      <c r="A118" s="73" t="s">
        <v>298</v>
      </c>
      <c r="B118" s="34" t="s">
        <v>92</v>
      </c>
      <c r="C118" s="40" t="s">
        <v>203</v>
      </c>
      <c r="D118" s="34" t="s">
        <v>34</v>
      </c>
      <c r="E118" s="36">
        <v>12</v>
      </c>
      <c r="F118" s="36">
        <f>265.77*A177*B177</f>
        <v>360.86784797700005</v>
      </c>
      <c r="G118" s="45">
        <f t="shared" si="20"/>
        <v>4330.41</v>
      </c>
      <c r="H118" s="1"/>
    </row>
    <row r="119" spans="1:8" ht="17.25" customHeight="1" x14ac:dyDescent="0.3">
      <c r="A119" s="73" t="s">
        <v>299</v>
      </c>
      <c r="B119" s="34" t="s">
        <v>51</v>
      </c>
      <c r="C119" s="40" t="s">
        <v>201</v>
      </c>
      <c r="D119" s="34" t="s">
        <v>34</v>
      </c>
      <c r="E119" s="36">
        <v>10</v>
      </c>
      <c r="F119" s="36">
        <f>155.22*A177*B177</f>
        <v>210.76083592200004</v>
      </c>
      <c r="G119" s="45">
        <f t="shared" ref="G119" si="21">ROUND(E119*F119,2)</f>
        <v>2107.61</v>
      </c>
      <c r="H119" s="1"/>
    </row>
    <row r="120" spans="1:8" ht="17.25" customHeight="1" x14ac:dyDescent="0.3">
      <c r="A120" s="73" t="s">
        <v>300</v>
      </c>
      <c r="B120" s="34" t="s">
        <v>52</v>
      </c>
      <c r="C120" s="35" t="s">
        <v>184</v>
      </c>
      <c r="D120" s="34" t="s">
        <v>34</v>
      </c>
      <c r="E120" s="36">
        <v>2</v>
      </c>
      <c r="F120" s="36">
        <f>55.57*A177</f>
        <v>68.851230000000001</v>
      </c>
      <c r="G120" s="45">
        <f t="shared" si="20"/>
        <v>137.69999999999999</v>
      </c>
      <c r="H120" s="1"/>
    </row>
    <row r="121" spans="1:8" ht="17.25" customHeight="1" x14ac:dyDescent="0.3">
      <c r="A121" s="74" t="s">
        <v>301</v>
      </c>
      <c r="B121" s="34" t="s">
        <v>10</v>
      </c>
      <c r="C121" s="35" t="s">
        <v>183</v>
      </c>
      <c r="D121" s="34" t="s">
        <v>34</v>
      </c>
      <c r="E121" s="36">
        <v>5</v>
      </c>
      <c r="F121" s="36">
        <f>79.42*A177*B177</f>
        <v>107.83807234200002</v>
      </c>
      <c r="G121" s="45">
        <f t="shared" si="20"/>
        <v>539.19000000000005</v>
      </c>
      <c r="H121" s="1"/>
    </row>
    <row r="122" spans="1:8" ht="17.25" customHeight="1" x14ac:dyDescent="0.3">
      <c r="A122" s="73" t="s">
        <v>302</v>
      </c>
      <c r="B122" s="34" t="s">
        <v>11</v>
      </c>
      <c r="C122" s="35" t="s">
        <v>185</v>
      </c>
      <c r="D122" s="34" t="s">
        <v>46</v>
      </c>
      <c r="E122" s="36">
        <v>1</v>
      </c>
      <c r="F122" s="36">
        <f>1000.72*A177*B177</f>
        <v>1358.7977304720002</v>
      </c>
      <c r="G122" s="45">
        <f t="shared" si="20"/>
        <v>1358.8</v>
      </c>
      <c r="H122" s="1"/>
    </row>
    <row r="123" spans="1:8" ht="17.25" customHeight="1" x14ac:dyDescent="0.3">
      <c r="A123" s="74" t="s">
        <v>303</v>
      </c>
      <c r="B123" s="34" t="s">
        <v>61</v>
      </c>
      <c r="C123" s="35" t="s">
        <v>186</v>
      </c>
      <c r="D123" s="34" t="s">
        <v>34</v>
      </c>
      <c r="E123" s="36">
        <v>4</v>
      </c>
      <c r="F123" s="36">
        <f>668.82*A177*B177</f>
        <v>908.13723928200022</v>
      </c>
      <c r="G123" s="45">
        <f t="shared" si="20"/>
        <v>3632.55</v>
      </c>
      <c r="H123" s="1"/>
    </row>
    <row r="124" spans="1:8" ht="17.25" customHeight="1" x14ac:dyDescent="0.3">
      <c r="A124" s="74" t="s">
        <v>304</v>
      </c>
      <c r="B124" s="34" t="s">
        <v>62</v>
      </c>
      <c r="C124" s="35" t="s">
        <v>190</v>
      </c>
      <c r="D124" s="34" t="s">
        <v>34</v>
      </c>
      <c r="E124" s="36">
        <v>8</v>
      </c>
      <c r="F124" s="36">
        <f>212.4*A177</f>
        <v>263.16360000000003</v>
      </c>
      <c r="G124" s="45">
        <f t="shared" si="20"/>
        <v>2105.31</v>
      </c>
      <c r="H124" s="1"/>
    </row>
    <row r="125" spans="1:8" ht="17.25" customHeight="1" x14ac:dyDescent="0.3">
      <c r="A125" s="73" t="s">
        <v>160</v>
      </c>
      <c r="B125" s="34" t="s">
        <v>63</v>
      </c>
      <c r="C125" s="35" t="s">
        <v>187</v>
      </c>
      <c r="D125" s="34" t="s">
        <v>34</v>
      </c>
      <c r="E125" s="36">
        <v>9</v>
      </c>
      <c r="F125" s="36">
        <f>148.9*A177</f>
        <v>184.48710000000003</v>
      </c>
      <c r="G125" s="45">
        <f t="shared" si="20"/>
        <v>1660.38</v>
      </c>
      <c r="H125" s="1"/>
    </row>
    <row r="126" spans="1:8" ht="17.25" customHeight="1" x14ac:dyDescent="0.3">
      <c r="A126" s="73" t="s">
        <v>305</v>
      </c>
      <c r="B126" s="34" t="s">
        <v>135</v>
      </c>
      <c r="C126" s="40" t="s">
        <v>189</v>
      </c>
      <c r="D126" s="34" t="s">
        <v>34</v>
      </c>
      <c r="E126" s="36">
        <v>1</v>
      </c>
      <c r="F126" s="36">
        <f>81.31*A177</f>
        <v>100.74309000000001</v>
      </c>
      <c r="G126" s="45">
        <f t="shared" si="20"/>
        <v>100.74</v>
      </c>
      <c r="H126" s="1"/>
    </row>
    <row r="127" spans="1:8" ht="17.25" customHeight="1" x14ac:dyDescent="0.3">
      <c r="A127" s="73" t="s">
        <v>307</v>
      </c>
      <c r="B127" s="34" t="s">
        <v>136</v>
      </c>
      <c r="C127" s="40" t="s">
        <v>188</v>
      </c>
      <c r="D127" s="34" t="s">
        <v>34</v>
      </c>
      <c r="E127" s="36">
        <v>1</v>
      </c>
      <c r="F127" s="36">
        <f>75.26*A177*B177</f>
        <v>102.18954072600003</v>
      </c>
      <c r="G127" s="45">
        <f t="shared" ref="G127" si="22">ROUND(E127*F127,2)</f>
        <v>102.19</v>
      </c>
      <c r="H127" s="1"/>
    </row>
    <row r="128" spans="1:8" ht="17.25" customHeight="1" x14ac:dyDescent="0.3">
      <c r="A128" s="73" t="s">
        <v>307</v>
      </c>
      <c r="B128" s="34" t="s">
        <v>137</v>
      </c>
      <c r="C128" s="40" t="s">
        <v>306</v>
      </c>
      <c r="D128" s="34" t="s">
        <v>34</v>
      </c>
      <c r="E128" s="36">
        <v>4</v>
      </c>
      <c r="F128" s="36">
        <f>75.26*B177*A177</f>
        <v>102.18954072600003</v>
      </c>
      <c r="G128" s="45">
        <f t="shared" ref="G128" si="23">ROUND(E128*F128,2)</f>
        <v>408.76</v>
      </c>
      <c r="H128" s="1"/>
    </row>
    <row r="129" spans="1:8" ht="17.25" customHeight="1" x14ac:dyDescent="0.3">
      <c r="A129" s="73" t="s">
        <v>308</v>
      </c>
      <c r="B129" s="34" t="s">
        <v>138</v>
      </c>
      <c r="C129" s="35" t="s">
        <v>191</v>
      </c>
      <c r="D129" s="34" t="s">
        <v>25</v>
      </c>
      <c r="E129" s="36">
        <v>8</v>
      </c>
      <c r="F129" s="36">
        <f>9.55*A177*B177</f>
        <v>12.967181955000003</v>
      </c>
      <c r="G129" s="45">
        <f t="shared" si="20"/>
        <v>103.74</v>
      </c>
      <c r="H129" s="1"/>
    </row>
    <row r="130" spans="1:8" ht="17.25" customHeight="1" x14ac:dyDescent="0.3">
      <c r="A130" s="73" t="s">
        <v>311</v>
      </c>
      <c r="B130" s="34" t="s">
        <v>147</v>
      </c>
      <c r="C130" s="35" t="s">
        <v>192</v>
      </c>
      <c r="D130" s="34" t="s">
        <v>34</v>
      </c>
      <c r="E130" s="36">
        <v>22</v>
      </c>
      <c r="F130" s="36">
        <f>35.75*A177*B177</f>
        <v>48.542068575000009</v>
      </c>
      <c r="G130" s="45">
        <f t="shared" si="20"/>
        <v>1067.93</v>
      </c>
      <c r="H130" s="1"/>
    </row>
    <row r="131" spans="1:8" ht="17.25" customHeight="1" x14ac:dyDescent="0.3">
      <c r="A131" s="73" t="s">
        <v>310</v>
      </c>
      <c r="B131" s="34" t="s">
        <v>148</v>
      </c>
      <c r="C131" s="35" t="s">
        <v>193</v>
      </c>
      <c r="D131" s="34" t="s">
        <v>34</v>
      </c>
      <c r="E131" s="36">
        <v>5</v>
      </c>
      <c r="F131" s="36">
        <f>52.41*A177*B177</f>
        <v>71.163351441000017</v>
      </c>
      <c r="G131" s="45">
        <f t="shared" si="20"/>
        <v>355.82</v>
      </c>
      <c r="H131" s="1"/>
    </row>
    <row r="132" spans="1:8" ht="17.25" customHeight="1" x14ac:dyDescent="0.3">
      <c r="A132" s="73" t="s">
        <v>309</v>
      </c>
      <c r="B132" s="34" t="s">
        <v>149</v>
      </c>
      <c r="C132" s="35" t="s">
        <v>49</v>
      </c>
      <c r="D132" s="34" t="s">
        <v>34</v>
      </c>
      <c r="E132" s="36">
        <v>22</v>
      </c>
      <c r="F132" s="36">
        <f>63.66*A177</f>
        <v>78.874740000000003</v>
      </c>
      <c r="G132" s="45">
        <f t="shared" si="20"/>
        <v>1735.24</v>
      </c>
      <c r="H132" s="1"/>
    </row>
    <row r="133" spans="1:8" ht="17.25" customHeight="1" x14ac:dyDescent="0.3">
      <c r="A133" s="73" t="s">
        <v>160</v>
      </c>
      <c r="B133" s="34" t="s">
        <v>150</v>
      </c>
      <c r="C133" s="35" t="s">
        <v>194</v>
      </c>
      <c r="D133" s="34" t="s">
        <v>34</v>
      </c>
      <c r="E133" s="36">
        <v>21</v>
      </c>
      <c r="F133" s="36">
        <f>31*A177</f>
        <v>38.409000000000006</v>
      </c>
      <c r="G133" s="45">
        <f t="shared" si="20"/>
        <v>806.59</v>
      </c>
      <c r="H133" s="1"/>
    </row>
    <row r="134" spans="1:8" ht="17.25" customHeight="1" x14ac:dyDescent="0.3">
      <c r="A134" s="73" t="s">
        <v>160</v>
      </c>
      <c r="B134" s="34" t="s">
        <v>151</v>
      </c>
      <c r="C134" s="35" t="s">
        <v>195</v>
      </c>
      <c r="D134" s="34" t="s">
        <v>34</v>
      </c>
      <c r="E134" s="36">
        <v>1</v>
      </c>
      <c r="F134" s="36">
        <f>56*A177</f>
        <v>69.384</v>
      </c>
      <c r="G134" s="45">
        <f t="shared" ref="G134" si="24">ROUND(E134*F134,2)</f>
        <v>69.38</v>
      </c>
      <c r="H134" s="1"/>
    </row>
    <row r="135" spans="1:8" ht="17.25" customHeight="1" x14ac:dyDescent="0.3">
      <c r="A135" s="73" t="s">
        <v>160</v>
      </c>
      <c r="B135" s="34" t="s">
        <v>152</v>
      </c>
      <c r="C135" s="35" t="s">
        <v>196</v>
      </c>
      <c r="D135" s="34" t="s">
        <v>34</v>
      </c>
      <c r="E135" s="36">
        <v>1</v>
      </c>
      <c r="F135" s="36">
        <f>39.9*A177</f>
        <v>49.436100000000003</v>
      </c>
      <c r="G135" s="45">
        <f t="shared" si="20"/>
        <v>49.44</v>
      </c>
      <c r="H135" s="1"/>
    </row>
    <row r="136" spans="1:8" ht="17.25" customHeight="1" x14ac:dyDescent="0.3">
      <c r="A136" s="73" t="s">
        <v>312</v>
      </c>
      <c r="B136" s="34" t="s">
        <v>153</v>
      </c>
      <c r="C136" s="40" t="s">
        <v>198</v>
      </c>
      <c r="D136" s="34" t="s">
        <v>34</v>
      </c>
      <c r="E136" s="36">
        <v>3</v>
      </c>
      <c r="F136" s="36">
        <f>451.72*A177*B177</f>
        <v>613.35449557200013</v>
      </c>
      <c r="G136" s="45">
        <f t="shared" ref="G136" si="25">ROUND(E136*F136,2)</f>
        <v>1840.06</v>
      </c>
      <c r="H136" s="1"/>
    </row>
    <row r="137" spans="1:8" ht="17.25" customHeight="1" x14ac:dyDescent="0.3">
      <c r="A137" s="73" t="s">
        <v>314</v>
      </c>
      <c r="B137" s="34" t="s">
        <v>154</v>
      </c>
      <c r="C137" s="40" t="s">
        <v>197</v>
      </c>
      <c r="D137" s="34" t="s">
        <v>34</v>
      </c>
      <c r="E137" s="36">
        <v>1</v>
      </c>
      <c r="F137" s="36">
        <f>972.22*A177*B177</f>
        <v>1320.0998576220002</v>
      </c>
      <c r="G137" s="45">
        <f t="shared" ref="G137:G140" si="26">ROUND(E137*F137,2)</f>
        <v>1320.1</v>
      </c>
      <c r="H137" s="1"/>
    </row>
    <row r="138" spans="1:8" ht="17.25" customHeight="1" x14ac:dyDescent="0.3">
      <c r="A138" s="73" t="s">
        <v>316</v>
      </c>
      <c r="B138" s="34" t="s">
        <v>340</v>
      </c>
      <c r="C138" s="40" t="s">
        <v>315</v>
      </c>
      <c r="D138" s="34" t="s">
        <v>34</v>
      </c>
      <c r="E138" s="36">
        <v>8</v>
      </c>
      <c r="F138" s="36">
        <f>318.55*A177*B177</f>
        <v>432.53359285500011</v>
      </c>
      <c r="G138" s="45">
        <f t="shared" si="26"/>
        <v>3460.27</v>
      </c>
      <c r="H138" s="1"/>
    </row>
    <row r="139" spans="1:8" ht="17.25" customHeight="1" x14ac:dyDescent="0.3">
      <c r="A139" s="73" t="s">
        <v>313</v>
      </c>
      <c r="B139" s="34" t="s">
        <v>341</v>
      </c>
      <c r="C139" s="40" t="s">
        <v>199</v>
      </c>
      <c r="D139" s="34" t="s">
        <v>34</v>
      </c>
      <c r="E139" s="36">
        <v>1</v>
      </c>
      <c r="F139" s="36">
        <f>680.21*A177*B177</f>
        <v>923.60281022100014</v>
      </c>
      <c r="G139" s="45">
        <f t="shared" ref="G139" si="27">ROUND(E139*F139,2)</f>
        <v>923.6</v>
      </c>
      <c r="H139" s="1"/>
    </row>
    <row r="140" spans="1:8" ht="17.25" customHeight="1" x14ac:dyDescent="0.3">
      <c r="A140" s="73" t="s">
        <v>317</v>
      </c>
      <c r="B140" s="34" t="s">
        <v>342</v>
      </c>
      <c r="C140" s="57" t="s">
        <v>200</v>
      </c>
      <c r="D140" s="34" t="s">
        <v>34</v>
      </c>
      <c r="E140" s="36">
        <v>1</v>
      </c>
      <c r="F140" s="36">
        <f>837.41*A177*B177</f>
        <v>1137.052129941</v>
      </c>
      <c r="G140" s="45">
        <f t="shared" si="26"/>
        <v>1137.05</v>
      </c>
      <c r="H140" s="1"/>
    </row>
    <row r="141" spans="1:8" ht="17.25" customHeight="1" x14ac:dyDescent="0.3">
      <c r="A141" s="73" t="s">
        <v>160</v>
      </c>
      <c r="B141" s="34" t="s">
        <v>343</v>
      </c>
      <c r="C141" s="35" t="s">
        <v>205</v>
      </c>
      <c r="D141" s="34" t="s">
        <v>34</v>
      </c>
      <c r="E141" s="36">
        <v>10</v>
      </c>
      <c r="F141" s="36">
        <f>29.9*A177</f>
        <v>37.046100000000003</v>
      </c>
      <c r="G141" s="45">
        <f t="shared" ref="G141" si="28">ROUND(E141*F141,2)</f>
        <v>370.46</v>
      </c>
    </row>
    <row r="142" spans="1:8" ht="17.25" customHeight="1" x14ac:dyDescent="0.3">
      <c r="A142" s="73" t="s">
        <v>319</v>
      </c>
      <c r="B142" s="34" t="s">
        <v>408</v>
      </c>
      <c r="C142" s="40" t="s">
        <v>318</v>
      </c>
      <c r="D142" s="34" t="s">
        <v>34</v>
      </c>
      <c r="E142" s="36">
        <v>1</v>
      </c>
      <c r="F142" s="36">
        <f>523.93*A177*B177</f>
        <v>711.40268499300009</v>
      </c>
      <c r="G142" s="45">
        <f t="shared" ref="G142:G144" si="29">ROUND(E142*F142,2)</f>
        <v>711.4</v>
      </c>
    </row>
    <row r="143" spans="1:8" ht="17.25" customHeight="1" x14ac:dyDescent="0.3">
      <c r="A143" s="73" t="s">
        <v>320</v>
      </c>
      <c r="B143" s="34" t="s">
        <v>409</v>
      </c>
      <c r="C143" s="35" t="s">
        <v>321</v>
      </c>
      <c r="D143" s="34" t="s">
        <v>34</v>
      </c>
      <c r="E143" s="36">
        <v>1</v>
      </c>
      <c r="F143" s="36">
        <f>2894.98*A177*B177</f>
        <v>3930.8620330980007</v>
      </c>
      <c r="G143" s="45">
        <f t="shared" si="29"/>
        <v>3930.86</v>
      </c>
    </row>
    <row r="144" spans="1:8" ht="17.25" customHeight="1" thickBot="1" x14ac:dyDescent="0.35">
      <c r="A144" s="73" t="s">
        <v>322</v>
      </c>
      <c r="B144" s="34" t="s">
        <v>410</v>
      </c>
      <c r="C144" s="35" t="s">
        <v>323</v>
      </c>
      <c r="D144" s="34" t="s">
        <v>34</v>
      </c>
      <c r="E144" s="36">
        <v>1</v>
      </c>
      <c r="F144" s="36">
        <f>5794.826*A177</f>
        <v>7179.7894140000008</v>
      </c>
      <c r="G144" s="50">
        <f t="shared" si="29"/>
        <v>7179.79</v>
      </c>
    </row>
    <row r="145" spans="1:7" ht="18" customHeight="1" thickBot="1" x14ac:dyDescent="0.35">
      <c r="A145" s="32"/>
      <c r="B145" s="87" t="s">
        <v>19</v>
      </c>
      <c r="C145" s="87"/>
      <c r="D145" s="87"/>
      <c r="E145" s="87"/>
      <c r="F145" s="88"/>
      <c r="G145" s="70">
        <f>SUM(G110:G144)</f>
        <v>75901.449999999968</v>
      </c>
    </row>
    <row r="146" spans="1:7" ht="18" customHeight="1" x14ac:dyDescent="0.3">
      <c r="A146" s="31"/>
      <c r="B146" s="29" t="s">
        <v>70</v>
      </c>
      <c r="C146" s="83" t="s">
        <v>161</v>
      </c>
      <c r="D146" s="83"/>
      <c r="E146" s="83"/>
      <c r="F146" s="83"/>
      <c r="G146" s="84"/>
    </row>
    <row r="147" spans="1:7" ht="18" customHeight="1" x14ac:dyDescent="0.3">
      <c r="A147" s="73" t="s">
        <v>160</v>
      </c>
      <c r="B147" s="58" t="s">
        <v>177</v>
      </c>
      <c r="C147" s="59" t="s">
        <v>428</v>
      </c>
      <c r="D147" s="60" t="s">
        <v>30</v>
      </c>
      <c r="E147" s="61">
        <v>302.63</v>
      </c>
      <c r="F147" s="36">
        <f>4.45*A177</f>
        <v>5.5135500000000004</v>
      </c>
      <c r="G147" s="45">
        <f t="shared" ref="G147:G148" si="30">ROUND(E147*F147,2)</f>
        <v>1668.57</v>
      </c>
    </row>
    <row r="148" spans="1:7" ht="28.5" customHeight="1" thickBot="1" x14ac:dyDescent="0.25">
      <c r="A148" s="73" t="s">
        <v>160</v>
      </c>
      <c r="B148" s="58" t="s">
        <v>178</v>
      </c>
      <c r="C148" s="44" t="s">
        <v>168</v>
      </c>
      <c r="D148" s="58" t="s">
        <v>34</v>
      </c>
      <c r="E148" s="62">
        <v>1</v>
      </c>
      <c r="F148" s="45">
        <f>4900*A177</f>
        <v>6071.1</v>
      </c>
      <c r="G148" s="50">
        <f t="shared" si="30"/>
        <v>6071.1</v>
      </c>
    </row>
    <row r="149" spans="1:7" ht="18" customHeight="1" thickBot="1" x14ac:dyDescent="0.35">
      <c r="A149" s="32"/>
      <c r="B149" s="87" t="s">
        <v>20</v>
      </c>
      <c r="C149" s="87"/>
      <c r="D149" s="87"/>
      <c r="E149" s="87"/>
      <c r="F149" s="88"/>
      <c r="G149" s="70">
        <f>SUM(G147:G148)</f>
        <v>7739.67</v>
      </c>
    </row>
    <row r="150" spans="1:7" ht="18" customHeight="1" x14ac:dyDescent="0.3">
      <c r="A150" s="31"/>
      <c r="B150" s="29" t="s">
        <v>411</v>
      </c>
      <c r="C150" s="83" t="s">
        <v>209</v>
      </c>
      <c r="D150" s="83"/>
      <c r="E150" s="83"/>
      <c r="F150" s="83"/>
      <c r="G150" s="84"/>
    </row>
    <row r="151" spans="1:7" ht="17.25" customHeight="1" x14ac:dyDescent="0.3">
      <c r="A151" s="73" t="s">
        <v>324</v>
      </c>
      <c r="B151" s="58" t="s">
        <v>412</v>
      </c>
      <c r="C151" s="59" t="s">
        <v>156</v>
      </c>
      <c r="D151" s="60" t="s">
        <v>34</v>
      </c>
      <c r="E151" s="61">
        <v>2</v>
      </c>
      <c r="F151" s="36">
        <f>109.76*A177*B177</f>
        <v>149.03433417600004</v>
      </c>
      <c r="G151" s="45">
        <f t="shared" ref="G151:G156" si="31">ROUND(E151*F151,2)</f>
        <v>298.07</v>
      </c>
    </row>
    <row r="152" spans="1:7" ht="17.25" customHeight="1" x14ac:dyDescent="0.3">
      <c r="A152" s="73" t="s">
        <v>325</v>
      </c>
      <c r="B152" s="58" t="s">
        <v>413</v>
      </c>
      <c r="C152" s="59" t="s">
        <v>157</v>
      </c>
      <c r="D152" s="60" t="s">
        <v>34</v>
      </c>
      <c r="E152" s="61">
        <v>1</v>
      </c>
      <c r="F152" s="36">
        <f>404.15*A177*B177</f>
        <v>548.7629934150001</v>
      </c>
      <c r="G152" s="45">
        <f t="shared" si="31"/>
        <v>548.76</v>
      </c>
    </row>
    <row r="153" spans="1:7" ht="17.25" customHeight="1" x14ac:dyDescent="0.3">
      <c r="A153" s="73" t="s">
        <v>326</v>
      </c>
      <c r="B153" s="58" t="s">
        <v>414</v>
      </c>
      <c r="C153" s="59" t="s">
        <v>0</v>
      </c>
      <c r="D153" s="60" t="s">
        <v>34</v>
      </c>
      <c r="E153" s="61">
        <v>11</v>
      </c>
      <c r="F153" s="36">
        <f>76.6*A177*B177</f>
        <v>104.00901966000001</v>
      </c>
      <c r="G153" s="45">
        <f t="shared" si="31"/>
        <v>1144.0999999999999</v>
      </c>
    </row>
    <row r="154" spans="1:7" ht="17.25" customHeight="1" x14ac:dyDescent="0.3">
      <c r="A154" s="73" t="s">
        <v>327</v>
      </c>
      <c r="B154" s="58" t="s">
        <v>415</v>
      </c>
      <c r="C154" s="59" t="s">
        <v>1</v>
      </c>
      <c r="D154" s="60" t="s">
        <v>34</v>
      </c>
      <c r="E154" s="61">
        <v>3</v>
      </c>
      <c r="F154" s="36">
        <f>76.9*A177*B177</f>
        <v>104.41636569000002</v>
      </c>
      <c r="G154" s="45">
        <f t="shared" si="31"/>
        <v>313.25</v>
      </c>
    </row>
    <row r="155" spans="1:7" ht="17.25" customHeight="1" x14ac:dyDescent="0.3">
      <c r="A155" s="73" t="s">
        <v>160</v>
      </c>
      <c r="B155" s="58" t="s">
        <v>416</v>
      </c>
      <c r="C155" s="59" t="s">
        <v>328</v>
      </c>
      <c r="D155" s="60" t="s">
        <v>34</v>
      </c>
      <c r="E155" s="61">
        <v>7</v>
      </c>
      <c r="F155" s="36">
        <f>10*A177</f>
        <v>12.39</v>
      </c>
      <c r="G155" s="45">
        <f t="shared" si="31"/>
        <v>86.73</v>
      </c>
    </row>
    <row r="156" spans="1:7" ht="31.5" customHeight="1" thickBot="1" x14ac:dyDescent="0.25">
      <c r="A156" s="73" t="s">
        <v>329</v>
      </c>
      <c r="B156" s="58" t="s">
        <v>417</v>
      </c>
      <c r="C156" s="44" t="s">
        <v>165</v>
      </c>
      <c r="D156" s="43" t="s">
        <v>46</v>
      </c>
      <c r="E156" s="62">
        <v>1</v>
      </c>
      <c r="F156" s="45">
        <f>1271.72*A177*B177</f>
        <v>1726.7669775720003</v>
      </c>
      <c r="G156" s="50">
        <f t="shared" si="31"/>
        <v>1726.77</v>
      </c>
    </row>
    <row r="157" spans="1:7" ht="18" customHeight="1" thickBot="1" x14ac:dyDescent="0.35">
      <c r="A157" s="32"/>
      <c r="B157" s="87" t="s">
        <v>418</v>
      </c>
      <c r="C157" s="87"/>
      <c r="D157" s="87"/>
      <c r="E157" s="87"/>
      <c r="F157" s="88"/>
      <c r="G157" s="70">
        <f>SUM(G151:G156)</f>
        <v>4117.68</v>
      </c>
    </row>
    <row r="158" spans="1:7" ht="18" customHeight="1" x14ac:dyDescent="0.3">
      <c r="A158" s="31"/>
      <c r="B158" s="29" t="s">
        <v>71</v>
      </c>
      <c r="C158" s="83" t="s">
        <v>210</v>
      </c>
      <c r="D158" s="83"/>
      <c r="E158" s="83"/>
      <c r="F158" s="83"/>
      <c r="G158" s="84"/>
    </row>
    <row r="159" spans="1:7" ht="17.25" customHeight="1" thickBot="1" x14ac:dyDescent="0.35">
      <c r="A159" s="73" t="s">
        <v>331</v>
      </c>
      <c r="B159" s="34" t="s">
        <v>93</v>
      </c>
      <c r="C159" s="55" t="s">
        <v>330</v>
      </c>
      <c r="D159" s="34" t="s">
        <v>31</v>
      </c>
      <c r="E159" s="36">
        <v>7.23</v>
      </c>
      <c r="F159" s="36">
        <f>47.67*A177</f>
        <v>59.063130000000008</v>
      </c>
      <c r="G159" s="45">
        <f t="shared" ref="G159" si="32">ROUND(E159*F159,2)</f>
        <v>427.03</v>
      </c>
    </row>
    <row r="160" spans="1:7" ht="18" customHeight="1" thickBot="1" x14ac:dyDescent="0.35">
      <c r="A160" s="32"/>
      <c r="B160" s="85" t="s">
        <v>21</v>
      </c>
      <c r="C160" s="85"/>
      <c r="D160" s="85"/>
      <c r="E160" s="85"/>
      <c r="F160" s="86"/>
      <c r="G160" s="70">
        <f>SUM(G159:G159)</f>
        <v>427.03</v>
      </c>
    </row>
    <row r="161" spans="1:8" ht="18" customHeight="1" x14ac:dyDescent="0.3">
      <c r="A161" s="31"/>
      <c r="B161" s="29" t="s">
        <v>72</v>
      </c>
      <c r="C161" s="83" t="s">
        <v>42</v>
      </c>
      <c r="D161" s="83"/>
      <c r="E161" s="83"/>
      <c r="F161" s="83"/>
      <c r="G161" s="84"/>
      <c r="H161" s="1"/>
    </row>
    <row r="162" spans="1:8" ht="17.25" customHeight="1" x14ac:dyDescent="0.3">
      <c r="A162" s="73" t="s">
        <v>160</v>
      </c>
      <c r="B162" s="34" t="s">
        <v>2</v>
      </c>
      <c r="C162" s="35" t="s">
        <v>182</v>
      </c>
      <c r="D162" s="34" t="s">
        <v>25</v>
      </c>
      <c r="E162" s="36">
        <v>1</v>
      </c>
      <c r="F162" s="36">
        <f>91.03*A177</f>
        <v>112.78617000000001</v>
      </c>
      <c r="G162" s="45">
        <f t="shared" ref="G162" si="33">ROUND(E162*F162,2)</f>
        <v>112.79</v>
      </c>
      <c r="H162" s="1"/>
    </row>
    <row r="163" spans="1:8" ht="17.25" customHeight="1" x14ac:dyDescent="0.3">
      <c r="A163" s="73" t="s">
        <v>160</v>
      </c>
      <c r="B163" s="34" t="s">
        <v>3</v>
      </c>
      <c r="C163" s="35" t="s">
        <v>332</v>
      </c>
      <c r="D163" s="34" t="s">
        <v>25</v>
      </c>
      <c r="E163" s="36">
        <v>31</v>
      </c>
      <c r="F163" s="36">
        <f>75*A177</f>
        <v>92.925000000000011</v>
      </c>
      <c r="G163" s="45">
        <f t="shared" ref="G163:G170" si="34">ROUND(E163*F163,2)</f>
        <v>2880.68</v>
      </c>
      <c r="H163" s="1"/>
    </row>
    <row r="164" spans="1:8" ht="17.25" customHeight="1" x14ac:dyDescent="0.3">
      <c r="A164" s="73" t="s">
        <v>160</v>
      </c>
      <c r="B164" s="34" t="s">
        <v>344</v>
      </c>
      <c r="C164" s="35" t="s">
        <v>180</v>
      </c>
      <c r="D164" s="34" t="s">
        <v>34</v>
      </c>
      <c r="E164" s="36">
        <v>24</v>
      </c>
      <c r="F164" s="36">
        <f>62*A177</f>
        <v>76.818000000000012</v>
      </c>
      <c r="G164" s="45">
        <f t="shared" si="34"/>
        <v>1843.63</v>
      </c>
      <c r="H164" s="1"/>
    </row>
    <row r="165" spans="1:8" ht="17.25" customHeight="1" x14ac:dyDescent="0.3">
      <c r="A165" s="73" t="s">
        <v>160</v>
      </c>
      <c r="B165" s="34" t="s">
        <v>345</v>
      </c>
      <c r="C165" s="35" t="s">
        <v>179</v>
      </c>
      <c r="D165" s="34" t="s">
        <v>34</v>
      </c>
      <c r="E165" s="36">
        <v>1</v>
      </c>
      <c r="F165" s="36">
        <f>365*A177</f>
        <v>452.23500000000001</v>
      </c>
      <c r="G165" s="45">
        <f t="shared" si="34"/>
        <v>452.24</v>
      </c>
      <c r="H165" s="1"/>
    </row>
    <row r="166" spans="1:8" ht="17.25" customHeight="1" x14ac:dyDescent="0.3">
      <c r="A166" s="75" t="s">
        <v>181</v>
      </c>
      <c r="B166" s="34" t="s">
        <v>346</v>
      </c>
      <c r="C166" s="35" t="s">
        <v>206</v>
      </c>
      <c r="D166" s="34" t="s">
        <v>34</v>
      </c>
      <c r="E166" s="36">
        <v>6</v>
      </c>
      <c r="F166" s="36">
        <f>141.58*A177*B177</f>
        <v>192.24016975800004</v>
      </c>
      <c r="G166" s="50">
        <f t="shared" ref="G166" si="35">ROUND(E166*F166,2)</f>
        <v>1153.44</v>
      </c>
      <c r="H166" s="1"/>
    </row>
    <row r="167" spans="1:8" ht="17.25" customHeight="1" thickBot="1" x14ac:dyDescent="0.35">
      <c r="A167" s="75" t="s">
        <v>160</v>
      </c>
      <c r="B167" s="34" t="s">
        <v>347</v>
      </c>
      <c r="C167" s="35" t="s">
        <v>422</v>
      </c>
      <c r="D167" s="34" t="s">
        <v>30</v>
      </c>
      <c r="E167" s="36">
        <v>302.63</v>
      </c>
      <c r="F167" s="36">
        <f>5.21*A177*B177</f>
        <v>7.0742427210000018</v>
      </c>
      <c r="G167" s="50">
        <f t="shared" si="34"/>
        <v>2140.88</v>
      </c>
      <c r="H167" s="1"/>
    </row>
    <row r="168" spans="1:8" ht="17.25" customHeight="1" thickBot="1" x14ac:dyDescent="0.35">
      <c r="A168" s="32"/>
      <c r="B168" s="85" t="s">
        <v>22</v>
      </c>
      <c r="C168" s="85"/>
      <c r="D168" s="85"/>
      <c r="E168" s="85"/>
      <c r="F168" s="86"/>
      <c r="G168" s="70">
        <f>SUM(G162:G167)</f>
        <v>8583.66</v>
      </c>
      <c r="H168" s="1"/>
    </row>
    <row r="169" spans="1:8" ht="17.25" customHeight="1" x14ac:dyDescent="0.3">
      <c r="A169" s="31"/>
      <c r="B169" s="29" t="s">
        <v>73</v>
      </c>
      <c r="C169" s="83" t="s">
        <v>211</v>
      </c>
      <c r="D169" s="83"/>
      <c r="E169" s="83"/>
      <c r="F169" s="83"/>
      <c r="G169" s="84"/>
      <c r="H169" s="1"/>
    </row>
    <row r="170" spans="1:8" ht="17.25" customHeight="1" thickBot="1" x14ac:dyDescent="0.35">
      <c r="A170" s="73" t="s">
        <v>162</v>
      </c>
      <c r="B170" s="34" t="s">
        <v>348</v>
      </c>
      <c r="C170" s="35" t="s">
        <v>47</v>
      </c>
      <c r="D170" s="60" t="s">
        <v>30</v>
      </c>
      <c r="E170" s="36">
        <v>302.63</v>
      </c>
      <c r="F170" s="36">
        <f>2.36*A177</f>
        <v>2.9240400000000002</v>
      </c>
      <c r="G170" s="50">
        <f t="shared" si="34"/>
        <v>884.9</v>
      </c>
      <c r="H170" s="1"/>
    </row>
    <row r="171" spans="1:8" ht="18" customHeight="1" thickBot="1" x14ac:dyDescent="0.35">
      <c r="A171" s="32"/>
      <c r="B171" s="85" t="s">
        <v>23</v>
      </c>
      <c r="C171" s="85"/>
      <c r="D171" s="85"/>
      <c r="E171" s="85"/>
      <c r="F171" s="86"/>
      <c r="G171" s="70">
        <f>SUM(G170)</f>
        <v>884.9</v>
      </c>
      <c r="H171" s="1"/>
    </row>
    <row r="172" spans="1:8" ht="18" customHeight="1" x14ac:dyDescent="0.3">
      <c r="A172" s="31"/>
      <c r="B172" s="29" t="s">
        <v>74</v>
      </c>
      <c r="C172" s="83" t="s">
        <v>213</v>
      </c>
      <c r="D172" s="83"/>
      <c r="E172" s="83"/>
      <c r="F172" s="83"/>
      <c r="G172" s="84"/>
      <c r="H172" s="1"/>
    </row>
    <row r="173" spans="1:8" ht="18" customHeight="1" thickBot="1" x14ac:dyDescent="0.35">
      <c r="A173" s="73" t="s">
        <v>160</v>
      </c>
      <c r="B173" s="34" t="s">
        <v>4</v>
      </c>
      <c r="C173" s="35" t="s">
        <v>214</v>
      </c>
      <c r="D173" s="34" t="s">
        <v>34</v>
      </c>
      <c r="E173" s="36">
        <v>1</v>
      </c>
      <c r="F173" s="36">
        <f>1500*A177</f>
        <v>1858.5000000000002</v>
      </c>
      <c r="G173" s="50">
        <f t="shared" ref="G173" si="36">ROUND(E173*F173,2)</f>
        <v>1858.5</v>
      </c>
      <c r="H173" s="1"/>
    </row>
    <row r="174" spans="1:8" ht="18" customHeight="1" thickBot="1" x14ac:dyDescent="0.35">
      <c r="A174" s="33"/>
      <c r="B174" s="95" t="s">
        <v>24</v>
      </c>
      <c r="C174" s="95"/>
      <c r="D174" s="95"/>
      <c r="E174" s="95"/>
      <c r="F174" s="96"/>
      <c r="G174" s="70">
        <f>SUM(G173)</f>
        <v>1858.5</v>
      </c>
      <c r="H174" s="1"/>
    </row>
    <row r="175" spans="1:8" ht="24.95" customHeight="1" thickBot="1" x14ac:dyDescent="0.35">
      <c r="A175" s="91" t="s">
        <v>212</v>
      </c>
      <c r="B175" s="92"/>
      <c r="C175" s="92"/>
      <c r="D175" s="93"/>
      <c r="E175" s="93"/>
      <c r="F175" s="94"/>
      <c r="G175" s="72">
        <f>SUM(G15+G22+G27+G30+G36+G44+G52+G86+G91+G108+G157+G145+G149+G160+G168+G171+G174)</f>
        <v>314144.19999999995</v>
      </c>
      <c r="H175" s="11"/>
    </row>
    <row r="176" spans="1:8" ht="15" customHeight="1" x14ac:dyDescent="0.3">
      <c r="A176" s="80" t="s">
        <v>219</v>
      </c>
      <c r="B176" s="80"/>
      <c r="C176" s="80"/>
      <c r="D176" s="23"/>
      <c r="E176" s="24"/>
      <c r="F176" s="24"/>
      <c r="G176" s="26"/>
      <c r="H176" s="10"/>
    </row>
    <row r="177" spans="1:8" ht="16.5" hidden="1" customHeight="1" x14ac:dyDescent="0.3">
      <c r="A177" s="77">
        <v>1.2390000000000001</v>
      </c>
      <c r="B177" s="78">
        <v>1.0959000000000001</v>
      </c>
      <c r="C177" s="79"/>
      <c r="D177" s="27"/>
      <c r="E177" s="27"/>
      <c r="F177" s="27"/>
      <c r="G177" s="27"/>
      <c r="H177" s="11"/>
    </row>
    <row r="178" spans="1:8" ht="16.5" customHeight="1" x14ac:dyDescent="0.3">
      <c r="A178" s="82" t="s">
        <v>227</v>
      </c>
      <c r="B178" s="82"/>
      <c r="C178" s="82"/>
      <c r="D178" s="27"/>
      <c r="E178" s="27"/>
      <c r="F178" s="27"/>
      <c r="G178" s="27"/>
      <c r="H178" s="11"/>
    </row>
    <row r="179" spans="1:8" ht="16.5" customHeight="1" x14ac:dyDescent="0.3">
      <c r="A179" s="82" t="s">
        <v>226</v>
      </c>
      <c r="B179" s="82"/>
      <c r="C179" s="82"/>
      <c r="D179" s="27"/>
      <c r="E179" s="27"/>
      <c r="F179" s="27"/>
      <c r="G179" s="27"/>
      <c r="H179" s="11"/>
    </row>
    <row r="180" spans="1:8" ht="17.25" customHeight="1" x14ac:dyDescent="0.3">
      <c r="A180" s="82" t="s">
        <v>228</v>
      </c>
      <c r="B180" s="82"/>
      <c r="C180" s="82"/>
      <c r="D180" s="27"/>
      <c r="E180" s="27"/>
      <c r="F180" s="27"/>
      <c r="G180" s="27"/>
      <c r="H180" s="30"/>
    </row>
    <row r="181" spans="1:8" ht="16.5" customHeight="1" x14ac:dyDescent="0.3">
      <c r="A181" s="81" t="s">
        <v>269</v>
      </c>
      <c r="B181" s="81"/>
      <c r="C181" s="81"/>
      <c r="D181" s="18"/>
      <c r="E181" s="18"/>
      <c r="F181" s="18"/>
      <c r="G181" s="18"/>
      <c r="H181" s="11"/>
    </row>
    <row r="182" spans="1:8" ht="16.5" customHeight="1" x14ac:dyDescent="0.3">
      <c r="A182" s="76"/>
      <c r="B182" s="76"/>
      <c r="C182" s="76"/>
      <c r="D182" s="18"/>
      <c r="E182" s="18"/>
      <c r="F182" s="18"/>
      <c r="G182" s="18"/>
      <c r="H182" s="63"/>
    </row>
    <row r="183" spans="1:8" ht="16.5" customHeight="1" x14ac:dyDescent="0.3">
      <c r="A183" s="76"/>
      <c r="B183" s="76"/>
      <c r="C183" s="76"/>
      <c r="D183" s="18"/>
      <c r="E183" s="18"/>
      <c r="F183" s="18"/>
      <c r="G183" s="18"/>
      <c r="H183" s="63"/>
    </row>
    <row r="184" spans="1:8" ht="18" customHeight="1" x14ac:dyDescent="0.25">
      <c r="A184" s="6"/>
      <c r="B184" s="107"/>
      <c r="C184" s="107"/>
      <c r="D184" s="108" t="s">
        <v>423</v>
      </c>
      <c r="E184" s="108"/>
      <c r="F184" s="108"/>
      <c r="G184" s="108"/>
      <c r="H184" s="10"/>
    </row>
    <row r="185" spans="1:8" ht="15.75" x14ac:dyDescent="0.25">
      <c r="A185" s="105"/>
      <c r="B185" s="105"/>
      <c r="C185" s="105"/>
      <c r="D185" s="105"/>
      <c r="E185" s="105"/>
      <c r="F185" s="105"/>
      <c r="G185" s="105"/>
    </row>
    <row r="186" spans="1:8" ht="15.75" x14ac:dyDescent="0.25">
      <c r="A186" s="64"/>
      <c r="B186" s="64"/>
      <c r="C186" s="64"/>
      <c r="D186" s="64"/>
      <c r="E186" s="64"/>
      <c r="F186" s="64"/>
      <c r="G186" s="64"/>
    </row>
    <row r="187" spans="1:8" ht="15.75" x14ac:dyDescent="0.25">
      <c r="A187" s="64"/>
      <c r="B187" s="64"/>
      <c r="C187" s="64"/>
      <c r="D187" s="64"/>
      <c r="E187" s="64"/>
      <c r="F187" s="64"/>
      <c r="G187" s="64"/>
    </row>
    <row r="188" spans="1:8" ht="15.75" x14ac:dyDescent="0.25">
      <c r="A188" s="64"/>
      <c r="B188" s="64"/>
      <c r="C188" s="64"/>
      <c r="D188" s="64"/>
      <c r="E188" s="64"/>
      <c r="F188" s="64"/>
      <c r="G188" s="64"/>
    </row>
    <row r="189" spans="1:8" ht="15.75" x14ac:dyDescent="0.25">
      <c r="A189" s="64"/>
      <c r="B189" s="64"/>
      <c r="C189" s="64"/>
      <c r="D189" s="64"/>
      <c r="E189" s="64"/>
      <c r="F189" s="64"/>
      <c r="G189" s="64"/>
    </row>
    <row r="190" spans="1:8" ht="15.75" x14ac:dyDescent="0.25">
      <c r="A190" s="64"/>
      <c r="B190" s="64"/>
      <c r="C190" s="64"/>
      <c r="D190" s="64"/>
      <c r="E190" s="64"/>
      <c r="F190" s="64"/>
      <c r="G190" s="64"/>
    </row>
    <row r="191" spans="1:8" ht="15.75" x14ac:dyDescent="0.25">
      <c r="A191" s="64"/>
      <c r="B191" s="64"/>
      <c r="C191" s="64"/>
      <c r="D191" s="64"/>
      <c r="E191" s="64"/>
      <c r="F191" s="64"/>
      <c r="G191" s="64"/>
    </row>
    <row r="192" spans="1:8" ht="16.5" customHeight="1" x14ac:dyDescent="0.25">
      <c r="A192" s="106"/>
      <c r="B192" s="106"/>
      <c r="C192" s="106"/>
      <c r="D192" s="106"/>
      <c r="E192" s="106"/>
      <c r="F192" s="106"/>
      <c r="G192" s="106"/>
    </row>
    <row r="193" spans="1:8" ht="16.5" customHeight="1" x14ac:dyDescent="0.25">
      <c r="A193" s="65"/>
      <c r="B193" s="65"/>
      <c r="C193" s="65"/>
      <c r="D193" s="65"/>
      <c r="E193" s="65"/>
      <c r="F193" s="65"/>
      <c r="G193" s="65"/>
    </row>
    <row r="194" spans="1:8" ht="15.75" customHeight="1" x14ac:dyDescent="0.25">
      <c r="A194" s="104"/>
      <c r="B194" s="104"/>
      <c r="C194" s="104"/>
      <c r="D194" s="104"/>
      <c r="E194" s="104"/>
      <c r="F194" s="104"/>
      <c r="G194" s="104"/>
    </row>
    <row r="195" spans="1:8" ht="15.75" customHeight="1" x14ac:dyDescent="0.3">
      <c r="A195" s="25"/>
      <c r="B195" s="25"/>
      <c r="C195" s="26"/>
      <c r="D195" s="26"/>
      <c r="E195" s="26"/>
      <c r="F195" s="26"/>
      <c r="G195" s="26"/>
    </row>
    <row r="196" spans="1:8" ht="18.95" customHeight="1" x14ac:dyDescent="0.2">
      <c r="A196" s="102" t="s">
        <v>349</v>
      </c>
      <c r="B196" s="102"/>
      <c r="C196" s="102"/>
      <c r="D196" s="102"/>
      <c r="E196" s="102"/>
      <c r="F196" s="102"/>
      <c r="G196" s="102"/>
    </row>
    <row r="197" spans="1:8" ht="18.95" customHeight="1" x14ac:dyDescent="0.2">
      <c r="A197" s="103" t="s">
        <v>350</v>
      </c>
      <c r="B197" s="103"/>
      <c r="C197" s="103"/>
      <c r="D197" s="103"/>
      <c r="E197" s="103"/>
      <c r="F197" s="103"/>
      <c r="G197" s="103"/>
    </row>
    <row r="198" spans="1:8" ht="18" customHeight="1" x14ac:dyDescent="0.2"/>
    <row r="199" spans="1:8" ht="16.5" customHeight="1" x14ac:dyDescent="0.25">
      <c r="H199" s="28"/>
    </row>
    <row r="200" spans="1:8" ht="17.25" x14ac:dyDescent="0.3">
      <c r="A200" s="13" t="s">
        <v>43</v>
      </c>
      <c r="B200" s="13" t="s">
        <v>43</v>
      </c>
      <c r="C200" s="13"/>
      <c r="D200" s="13"/>
      <c r="E200" s="13"/>
      <c r="F200" s="13"/>
      <c r="G200" s="5"/>
    </row>
    <row r="201" spans="1:8" ht="17.25" x14ac:dyDescent="0.3">
      <c r="A201" s="2"/>
      <c r="B201" s="2"/>
      <c r="C201" s="11" t="s">
        <v>43</v>
      </c>
      <c r="D201" s="11"/>
      <c r="E201" s="11"/>
      <c r="F201" s="11"/>
      <c r="G201" s="12"/>
    </row>
    <row r="202" spans="1:8" ht="15.75" x14ac:dyDescent="0.25">
      <c r="A202" s="2"/>
      <c r="B202" s="2"/>
      <c r="C202" s="10" t="s">
        <v>43</v>
      </c>
      <c r="D202" s="10"/>
      <c r="E202" s="10"/>
      <c r="F202" s="10"/>
      <c r="G202" s="6"/>
    </row>
    <row r="203" spans="1:8" ht="17.25" x14ac:dyDescent="0.3">
      <c r="A203" s="2"/>
      <c r="B203" s="2"/>
      <c r="C203" s="11"/>
      <c r="D203" s="11"/>
      <c r="E203" s="11"/>
      <c r="F203" s="11"/>
      <c r="G203" s="6"/>
    </row>
    <row r="204" spans="1:8" ht="15.75" x14ac:dyDescent="0.25">
      <c r="A204" s="2"/>
      <c r="B204" s="2"/>
      <c r="C204" s="10"/>
      <c r="D204" s="10"/>
      <c r="E204" s="10"/>
      <c r="F204" s="10"/>
      <c r="G204" s="6"/>
    </row>
    <row r="205" spans="1:8" x14ac:dyDescent="0.2">
      <c r="A205" s="2"/>
      <c r="B205" s="2"/>
      <c r="C205" s="2"/>
      <c r="D205" s="2"/>
      <c r="E205" s="4"/>
      <c r="F205" s="4"/>
      <c r="G205" s="6"/>
    </row>
    <row r="206" spans="1:8" ht="17.25" x14ac:dyDescent="0.3">
      <c r="A206" s="5" t="s">
        <v>43</v>
      </c>
      <c r="B206" s="5" t="s">
        <v>43</v>
      </c>
      <c r="C206" s="5"/>
      <c r="D206" s="5"/>
      <c r="E206" s="5"/>
      <c r="F206" s="5"/>
      <c r="G206" s="6"/>
    </row>
    <row r="207" spans="1:8" ht="15.75" x14ac:dyDescent="0.25">
      <c r="A207" s="12"/>
      <c r="B207" s="12"/>
      <c r="C207" s="12"/>
      <c r="D207" s="12"/>
      <c r="E207" s="12"/>
      <c r="F207" s="12"/>
      <c r="G207" s="6"/>
    </row>
    <row r="208" spans="1:8" ht="17.25" x14ac:dyDescent="0.3">
      <c r="A208" s="6"/>
      <c r="B208" s="6"/>
      <c r="C208" s="7"/>
      <c r="D208" s="8"/>
      <c r="E208" s="9"/>
      <c r="F208" s="9"/>
    </row>
    <row r="209" spans="1:6" ht="17.25" x14ac:dyDescent="0.3">
      <c r="A209" s="6"/>
      <c r="B209" s="6"/>
      <c r="C209" s="7"/>
      <c r="D209" s="8"/>
      <c r="E209" s="9"/>
      <c r="F209" s="9"/>
    </row>
    <row r="210" spans="1:6" ht="17.25" x14ac:dyDescent="0.3">
      <c r="A210" s="6"/>
      <c r="B210" s="6"/>
      <c r="C210" s="7"/>
      <c r="D210" s="8"/>
      <c r="E210" s="9"/>
      <c r="F210" s="9"/>
    </row>
    <row r="211" spans="1:6" ht="17.25" x14ac:dyDescent="0.3">
      <c r="A211" s="6"/>
      <c r="B211" s="6"/>
      <c r="C211" s="7"/>
      <c r="D211" s="8"/>
      <c r="E211" s="9"/>
      <c r="F211" s="9"/>
    </row>
    <row r="212" spans="1:6" x14ac:dyDescent="0.2">
      <c r="A212" s="6"/>
      <c r="B212" s="6"/>
      <c r="C212" s="6"/>
      <c r="D212" s="6"/>
      <c r="E212" s="6"/>
      <c r="F212" s="6"/>
    </row>
    <row r="213" spans="1:6" x14ac:dyDescent="0.2">
      <c r="A213" s="6"/>
      <c r="B213" s="6"/>
      <c r="C213" s="6"/>
      <c r="D213" s="6"/>
      <c r="E213" s="6"/>
      <c r="F213" s="6"/>
    </row>
  </sheetData>
  <mergeCells count="55">
    <mergeCell ref="A196:G196"/>
    <mergeCell ref="A197:G197"/>
    <mergeCell ref="A6:G6"/>
    <mergeCell ref="A194:G194"/>
    <mergeCell ref="A185:G185"/>
    <mergeCell ref="A192:G192"/>
    <mergeCell ref="B184:C184"/>
    <mergeCell ref="D184:G184"/>
    <mergeCell ref="B168:F168"/>
    <mergeCell ref="B157:F157"/>
    <mergeCell ref="C161:G161"/>
    <mergeCell ref="C146:G146"/>
    <mergeCell ref="B149:F149"/>
    <mergeCell ref="C92:G92"/>
    <mergeCell ref="C53:G53"/>
    <mergeCell ref="C45:G45"/>
    <mergeCell ref="B1:C1"/>
    <mergeCell ref="B2:C2"/>
    <mergeCell ref="B3:C3"/>
    <mergeCell ref="B4:C4"/>
    <mergeCell ref="B86:F86"/>
    <mergeCell ref="B36:F36"/>
    <mergeCell ref="B22:F22"/>
    <mergeCell ref="A7:G7"/>
    <mergeCell ref="B9:G9"/>
    <mergeCell ref="B27:F27"/>
    <mergeCell ref="B44:F44"/>
    <mergeCell ref="B30:F30"/>
    <mergeCell ref="A8:G8"/>
    <mergeCell ref="B15:F15"/>
    <mergeCell ref="C11:G11"/>
    <mergeCell ref="C16:G16"/>
    <mergeCell ref="A175:F175"/>
    <mergeCell ref="B171:F171"/>
    <mergeCell ref="C172:G172"/>
    <mergeCell ref="B174:F174"/>
    <mergeCell ref="C169:G169"/>
    <mergeCell ref="C23:G23"/>
    <mergeCell ref="C28:G28"/>
    <mergeCell ref="B160:F160"/>
    <mergeCell ref="B145:F145"/>
    <mergeCell ref="C158:G158"/>
    <mergeCell ref="B108:F108"/>
    <mergeCell ref="B52:F52"/>
    <mergeCell ref="C31:G31"/>
    <mergeCell ref="C37:G37"/>
    <mergeCell ref="C109:G109"/>
    <mergeCell ref="C150:G150"/>
    <mergeCell ref="B91:F91"/>
    <mergeCell ref="C87:G87"/>
    <mergeCell ref="A176:C176"/>
    <mergeCell ref="A181:C181"/>
    <mergeCell ref="A180:C180"/>
    <mergeCell ref="A179:C179"/>
    <mergeCell ref="A178:C178"/>
  </mergeCells>
  <phoneticPr fontId="0" type="noConversion"/>
  <pageMargins left="0.51181102362204722" right="0" top="0.39370078740157483" bottom="0.19685039370078741" header="0.35433070866141736" footer="0.31496062992125984"/>
  <pageSetup paperSize="9" scale="58" orientation="landscape" r:id="rId1"/>
  <headerFooter alignWithMargins="0">
    <oddFooter>Página &amp;P</oddFooter>
  </headerFooter>
  <rowBreaks count="4" manualBreakCount="4">
    <brk id="54" max="6" man="1"/>
    <brk id="81" max="6" man="1"/>
    <brk id="117" max="6" man="1"/>
    <brk id="160" max="6" man="1"/>
  </rowBreaks>
  <drawing r:id="rId2"/>
  <legacyDrawing r:id="rId3"/>
  <oleObjects>
    <mc:AlternateContent xmlns:mc="http://schemas.openxmlformats.org/markup-compatibility/2006">
      <mc:Choice Requires="x14">
        <oleObject progId="CorelDraw.Graphic.9" shapeId="6145" r:id="rId4">
          <objectPr defaultSize="0" autoPict="0" r:id="rId5">
            <anchor moveWithCells="1" sizeWithCells="1">
              <from>
                <xdr:col>0</xdr:col>
                <xdr:colOff>371475</xdr:colOff>
                <xdr:row>0</xdr:row>
                <xdr:rowOff>19050</xdr:rowOff>
              </from>
              <to>
                <xdr:col>1</xdr:col>
                <xdr:colOff>200025</xdr:colOff>
                <xdr:row>2</xdr:row>
                <xdr:rowOff>161925</xdr:rowOff>
              </to>
            </anchor>
          </objectPr>
        </oleObject>
      </mc:Choice>
      <mc:Fallback>
        <oleObject progId="CorelDraw.Graphic.9" shapeId="6145" r:id="rId4"/>
      </mc:Fallback>
    </mc:AlternateContent>
    <mc:AlternateContent xmlns:mc="http://schemas.openxmlformats.org/markup-compatibility/2006">
      <mc:Choice Requires="x14">
        <oleObject progId="CorelDraw.Graphic.9" shapeId="6146" r:id="rId6">
          <objectPr defaultSize="0" autoPict="0" r:id="rId5">
            <anchor moveWithCells="1" sizeWithCells="1">
              <from>
                <xdr:col>0</xdr:col>
                <xdr:colOff>161925</xdr:colOff>
                <xdr:row>0</xdr:row>
                <xdr:rowOff>19050</xdr:rowOff>
              </from>
              <to>
                <xdr:col>1</xdr:col>
                <xdr:colOff>200025</xdr:colOff>
                <xdr:row>2</xdr:row>
                <xdr:rowOff>161925</xdr:rowOff>
              </to>
            </anchor>
          </objectPr>
        </oleObject>
      </mc:Choice>
      <mc:Fallback>
        <oleObject progId="CorelDraw.Graphic.9" shapeId="614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Orçamento UBS MEII 10.10.2017</vt:lpstr>
      <vt:lpstr>'Orçamento UBS MEII 10.10.2017'!Area_de_impressao</vt:lpstr>
      <vt:lpstr>'Orçamento UBS MEII 10.10.2017'!Titulos_de_impressao</vt:lpstr>
    </vt:vector>
  </TitlesOfParts>
  <Company>PREFEITURA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PREFEITURA MUNICIPAL DE GASPAR</dc:creator>
  <cp:lastModifiedBy>edmundo</cp:lastModifiedBy>
  <cp:lastPrinted>2017-10-11T17:28:14Z</cp:lastPrinted>
  <dcterms:created xsi:type="dcterms:W3CDTF">2002-02-01T10:54:45Z</dcterms:created>
  <dcterms:modified xsi:type="dcterms:W3CDTF">2017-10-11T17:28:52Z</dcterms:modified>
</cp:coreProperties>
</file>