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6165"/>
  </bookViews>
  <sheets>
    <sheet name="Plan1" sheetId="1" r:id="rId1"/>
    <sheet name="Plan2" sheetId="2" r:id="rId2"/>
    <sheet name="PINTURA" sheetId="3" r:id="rId3"/>
  </sheets>
  <definedNames>
    <definedName name="_xlnm.Print_Area" localSheetId="0">Plan1!$A$1:$H$104</definedName>
    <definedName name="_xlnm.Print_Area" localSheetId="1">Plan2!$A$1:$H$18</definedName>
    <definedName name="_xlnm.Print_Titles" localSheetId="0">Plan1!$1:$6</definedName>
  </definedNames>
  <calcPr calcId="124519" concurrentCalc="0"/>
</workbook>
</file>

<file path=xl/calcChain.xml><?xml version="1.0" encoding="utf-8"?>
<calcChain xmlns="http://schemas.openxmlformats.org/spreadsheetml/2006/main">
  <c r="H93" i="1"/>
  <c r="G9" l="1"/>
  <c r="H9"/>
  <c r="H10"/>
  <c r="G12"/>
  <c r="H12"/>
  <c r="G13"/>
  <c r="H13"/>
  <c r="F14"/>
  <c r="G14"/>
  <c r="H14"/>
  <c r="F15"/>
  <c r="G15"/>
  <c r="H15"/>
  <c r="G16"/>
  <c r="H16"/>
  <c r="F17"/>
  <c r="G17"/>
  <c r="H17"/>
  <c r="F18"/>
  <c r="G18"/>
  <c r="E18"/>
  <c r="H18"/>
  <c r="F19"/>
  <c r="G19"/>
  <c r="H19"/>
  <c r="F20"/>
  <c r="G20"/>
  <c r="H20"/>
  <c r="H21"/>
  <c r="G23" l="1"/>
  <c r="H23"/>
  <c r="F24"/>
  <c r="G24"/>
  <c r="H24"/>
  <c r="G25" l="1"/>
  <c r="H25"/>
  <c r="F26"/>
  <c r="G26"/>
  <c r="H26"/>
  <c r="F27"/>
  <c r="G27"/>
  <c r="E27"/>
  <c r="H27"/>
  <c r="H28"/>
  <c r="G30"/>
  <c r="H30"/>
  <c r="F31"/>
  <c r="G31"/>
  <c r="H31"/>
  <c r="H32"/>
  <c r="G34"/>
  <c r="H34"/>
  <c r="G35"/>
  <c r="H35"/>
  <c r="G36"/>
  <c r="H36"/>
  <c r="F37" l="1"/>
  <c r="G37"/>
  <c r="H37"/>
  <c r="F38" l="1"/>
  <c r="G38"/>
  <c r="H38"/>
  <c r="F39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H49"/>
  <c r="F51"/>
  <c r="G51"/>
  <c r="H51"/>
  <c r="H52"/>
  <c r="F85"/>
  <c r="G85"/>
  <c r="H85"/>
  <c r="H86"/>
  <c r="G54"/>
  <c r="H54"/>
  <c r="F55"/>
  <c r="G55"/>
  <c r="H55"/>
  <c r="G56"/>
  <c r="H56"/>
  <c r="F57"/>
  <c r="G57"/>
  <c r="H57" l="1"/>
  <c r="H58"/>
  <c r="F60"/>
  <c r="G60"/>
  <c r="H60"/>
  <c r="H61"/>
  <c r="F63"/>
  <c r="G63"/>
  <c r="H63"/>
  <c r="F64"/>
  <c r="G64"/>
  <c r="H64"/>
  <c r="G65"/>
  <c r="H65"/>
  <c r="F66"/>
  <c r="G66"/>
  <c r="H66"/>
  <c r="H67"/>
  <c r="G69"/>
  <c r="H69"/>
  <c r="G70"/>
  <c r="H70"/>
  <c r="F71"/>
  <c r="G71"/>
  <c r="H71"/>
  <c r="F72"/>
  <c r="G72"/>
  <c r="H72"/>
  <c r="H73"/>
  <c r="F75"/>
  <c r="G75"/>
  <c r="H75"/>
  <c r="G76"/>
  <c r="H76"/>
  <c r="G77"/>
  <c r="H77"/>
  <c r="H78"/>
  <c r="F80"/>
  <c r="G80"/>
  <c r="E80"/>
  <c r="H80"/>
  <c r="F81"/>
  <c r="G81"/>
  <c r="E81"/>
  <c r="H81"/>
  <c r="F82"/>
  <c r="G82"/>
  <c r="E82"/>
  <c r="H82"/>
  <c r="H83"/>
  <c r="F88"/>
  <c r="G88"/>
  <c r="H88"/>
  <c r="H89"/>
  <c r="G91"/>
  <c r="H91"/>
  <c r="H92"/>
  <c r="E16" i="3"/>
  <c r="D16"/>
  <c r="C16"/>
  <c r="C17"/>
  <c r="F16"/>
  <c r="F15"/>
  <c r="F7"/>
  <c r="F6"/>
  <c r="F5"/>
  <c r="F4"/>
  <c r="B5"/>
  <c r="A4"/>
  <c r="A5"/>
  <c r="C4"/>
  <c r="C5"/>
  <c r="C15"/>
  <c r="F17"/>
  <c r="I15"/>
  <c r="I18"/>
  <c r="M3"/>
  <c r="M4"/>
  <c r="L4"/>
  <c r="M5"/>
  <c r="M6"/>
  <c r="G65" i="2"/>
  <c r="G64"/>
  <c r="G63"/>
  <c r="G62"/>
  <c r="G61"/>
  <c r="G60"/>
  <c r="G56"/>
  <c r="G55"/>
  <c r="G54"/>
  <c r="G53"/>
  <c r="G52"/>
  <c r="G51"/>
  <c r="G50"/>
  <c r="G47"/>
  <c r="G46"/>
  <c r="G45"/>
  <c r="G44"/>
  <c r="G43"/>
  <c r="G42"/>
  <c r="G41"/>
  <c r="G38"/>
  <c r="G37"/>
  <c r="G36"/>
  <c r="G35"/>
  <c r="G34"/>
  <c r="G33"/>
  <c r="G32"/>
  <c r="G29"/>
  <c r="G28"/>
  <c r="G27"/>
  <c r="G26"/>
  <c r="G25"/>
  <c r="G24"/>
  <c r="G23"/>
  <c r="G19"/>
  <c r="G18"/>
  <c r="G17"/>
  <c r="G16"/>
  <c r="G15"/>
  <c r="G14"/>
  <c r="G13"/>
  <c r="G12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<sst xmlns="http://schemas.openxmlformats.org/spreadsheetml/2006/main" count="488" uniqueCount="293">
  <si>
    <t>BDI</t>
  </si>
  <si>
    <t>ITEM</t>
  </si>
  <si>
    <t>CÓDIGO</t>
  </si>
  <si>
    <t>DESCRIÇÃO</t>
  </si>
  <si>
    <t>QUANT.</t>
  </si>
  <si>
    <t>R$ UNITARIO</t>
  </si>
  <si>
    <t>R$ UNIT.C/BDI</t>
  </si>
  <si>
    <t xml:space="preserve">PREÇO TOTAL </t>
  </si>
  <si>
    <t>1.</t>
  </si>
  <si>
    <t>1.1</t>
  </si>
  <si>
    <t>ESQUADRIAS</t>
  </si>
  <si>
    <t>UNID.</t>
  </si>
  <si>
    <t>2.</t>
  </si>
  <si>
    <t>2.1</t>
  </si>
  <si>
    <t>TOTAL GERAL</t>
  </si>
  <si>
    <t>REVESTIMENTO</t>
  </si>
  <si>
    <t>2.2</t>
  </si>
  <si>
    <t>3.</t>
  </si>
  <si>
    <t>3.1</t>
  </si>
  <si>
    <t>4.</t>
  </si>
  <si>
    <t>4.1</t>
  </si>
  <si>
    <t>5.</t>
  </si>
  <si>
    <t>5.1</t>
  </si>
  <si>
    <t>6.</t>
  </si>
  <si>
    <t>HIDROSSANITÁRIO</t>
  </si>
  <si>
    <t>6.1</t>
  </si>
  <si>
    <t>M</t>
  </si>
  <si>
    <t>7.</t>
  </si>
  <si>
    <t>7.1</t>
  </si>
  <si>
    <t>PREFEITURA MUNICIPAL DE GASPAR</t>
  </si>
  <si>
    <t>Secretaria Municipal de Educação</t>
  </si>
  <si>
    <t>INSTALAÇÕES ELÉTRICAS</t>
  </si>
  <si>
    <t>LIMPEZA DA OBRA</t>
  </si>
  <si>
    <t>8.1</t>
  </si>
  <si>
    <t>INEL</t>
  </si>
  <si>
    <t>COMP 02</t>
  </si>
  <si>
    <t>UN</t>
  </si>
  <si>
    <t/>
  </si>
  <si>
    <t>COMPOSICAO</t>
  </si>
  <si>
    <t>CABO DE COBRE FLEXÍVEL ISOLADO, 4,0 MM², ANTI-CHAMA 450/750 V, PARA CIRCUITOS TERMINAIS - FORNECIMENTO E INSTALAÇÃO. AF_12/2015</t>
  </si>
  <si>
    <t>DISJUNTOR BIPOLAR TIPO DIN, CORRENTE NOMINAL DE 25A - FORNECIMENTO E INSTALAÇÃO. AF_04/2016</t>
  </si>
  <si>
    <t>COMP. 01</t>
  </si>
  <si>
    <t>ELETRODUTO RÍGIDO SOLDÁVEL, PVC, DN 20 MM (½), APARENTE, INSTALADO EM TETO - FORNECIMENTO E INSTALAÇÃO. AF_11/2016_P</t>
  </si>
  <si>
    <t>CABO DE COBRE FLEXÍVEL ISOLADO, 6,0 MM², ANTI-CHAMA 450/750 V, PARA CIRCUITOS TERMINAIS - FORNECIMENTO E INSTALAÇÃO. AF_12/2015</t>
  </si>
  <si>
    <t>FURO EM ALVENARIA PARA DIÂMETROS MENORES OU IGUAIS A 40 MM. AF_05/2015</t>
  </si>
  <si>
    <t>INSUMO</t>
  </si>
  <si>
    <t>TAMPA CEGA EM PVC PARA CONDULETE 4 X 2"</t>
  </si>
  <si>
    <t>IPPUJ C10.76.10.05.200</t>
  </si>
  <si>
    <t>TOMADA SOBREPOR BLINDADA 32A/440V 3P+T PARA FORNO ELÉTRICO INDUSTRIAL COM TAMPA, VER MEMORIAL</t>
  </si>
  <si>
    <t>TOTAL DA COMPOSIÇÃO</t>
  </si>
  <si>
    <t>CABO DE COBRE FLEXÍVEL ISOLADO, 2,5 MM², ANTI-CHAMA 450/750 V, PARA CIRCUITOS TERMINAIS - FORNECIMENTO E INSTALAÇÃO. AF_12/2015</t>
  </si>
  <si>
    <t>COMP. 03</t>
  </si>
  <si>
    <t>PONTO DE TOMADA RESIDENCIAL INCLUINDO TOMADA TRIFÁSICA 32A/440V 3P+T , DISJUNTOR 40A CONDULETE ADEQUADO, ELETRODUTO RÍGIDO, CABO 6 MM², FURO NO TETO, E INSTALAÇÃO. AF_01/2016</t>
  </si>
  <si>
    <t>DISJUNTOR BIPOLAR TIPO DIN, CORRENTE NOMINAL DE 40A - FORNECIMENTO E INSTALAÇÃO. AF_04/2016</t>
  </si>
  <si>
    <t>CONDULETE EM PVC, TIPO "B", SEM TAMPA, DE 1/2"</t>
  </si>
  <si>
    <t xml:space="preserve">TAMPA PARA CONDULETE, EM PVC, COM TOMADA HEXAGONAL </t>
  </si>
  <si>
    <t>IPPUJ I21.05.05.30.0317</t>
  </si>
  <si>
    <t>Tomada 2P+T hexagonal NBR 14136, embutir 20A/220V, c/
placa</t>
  </si>
  <si>
    <t xml:space="preserve">IPPUJ C10.76.10.20.023 </t>
  </si>
  <si>
    <t>TOMADA MÉDIA DE EMBUTIR (2 MÓDULOS), 2P+T 20 A, INCLUINDO SUPORTE E PLACA - FORNECIMENTO E INSTALAÇÃO. AF_12/2015</t>
  </si>
  <si>
    <t xml:space="preserve">Condulete tipo C pvc cinza de encaixe 3/4" s/ tampa
(inclusive parafusos e buchas) </t>
  </si>
  <si>
    <t>IPPUJ C10.76.10.20.026</t>
  </si>
  <si>
    <t>Condulete tipo LR pvc cinza de encaixe 3/4" s/ tampa
(inclusive parafusos e buchas)</t>
  </si>
  <si>
    <t xml:space="preserve">PONTO DE TOMADA RESIDENCIAL INCLUINDO TOMADA 20A/250V,CONDULETES, ELETRODUTO RÍGIDO, CABO DE COBRE, FURO NO TETO, E INSTALAÇÃO COMPLETA. </t>
  </si>
  <si>
    <t>COMP. 04</t>
  </si>
  <si>
    <t>COMP. 05</t>
  </si>
  <si>
    <t>COMP. 06</t>
  </si>
  <si>
    <t>IPPUJ C10.76.10.05.175</t>
  </si>
  <si>
    <t xml:space="preserve"> 2 Tomadas 2P+T 10a/250v, c/tampa para condulete pvc
cinza de encaixe 3/4".</t>
  </si>
  <si>
    <t>IPPUJ C10.76.10.20.025</t>
  </si>
  <si>
    <t>Condulete tipo LL pvc cinza de encaixe 3/4" s/ tampa
(inclusive parafusos e buchas)</t>
  </si>
  <si>
    <t>IPPUJ I21.05.05.30.0031</t>
  </si>
  <si>
    <t>1 Interruptor paralelo e 1 tomada 2P+T hexagonal NBR 14136,10a/250v embutir, c/ placa.</t>
  </si>
  <si>
    <t xml:space="preserve">PONTO DE ILUMINAÇÃO E TOMADA RESIDENCIAL, INCLUINDO INTERRUPTOR PARALELO E TOMADA 10A/250V,CONDULETES, ELETRODUTO RÍGIDO, CABO DE COBRE, FURO NO TETO, E INSTALAÇÃO COMPLETA. </t>
  </si>
  <si>
    <t>COMP. 07</t>
  </si>
  <si>
    <t>PONTO ELÉTRICO PARA VENTILADOR DE PAREDE  INCLUINDO CAIXA DE LIGAÇÃO 10A/250V,CONDULETES, ELETRODUTO RÍGIDO, CABO DE COBRE, FURO NO TETO, E INSTALAÇÃO COMPLETA. *</t>
  </si>
  <si>
    <t xml:space="preserve">IPPUJ C10.76.10.05.155 </t>
  </si>
  <si>
    <t>2 Interruptores paralelos e 1 tomada 2P+T hexagonal NBR
14136, 10A/220V embutir, c/ placa. 22,05</t>
  </si>
  <si>
    <t xml:space="preserve">PONTO DE ILUMINAÇÃO E TOMADA RESIDENCIAL INCLUINDO INTERRUPTOR PARALELO E SIMPLES, TOMADA 10A/250V,CONDULETES, ELETRODUTO RÍGIDO, CABO DE COBRE, FURO NO TETO, E INSTALAÇÃO COMPLETA. </t>
  </si>
  <si>
    <t>PONTO DE TOMADA RESIDENCIAL INCLUINDO TOMADA 20A/250V, CAIXA ELÉTRICA, CONDULETES, ELETRODUTO RÍGIDO, FURO NO TETO, CABO DE COBRE DE 4MM², DISJUNTOR 25A E INSTALAÇÃO COMPLETA.  (TOMADA PARA A MÁQUINA DE FAZER PÃO)</t>
  </si>
  <si>
    <t>Limpeza final da obra</t>
  </si>
  <si>
    <t>un</t>
  </si>
  <si>
    <t>m²</t>
  </si>
  <si>
    <t>m</t>
  </si>
  <si>
    <t>Total no item 1</t>
  </si>
  <si>
    <t>Total no item 2</t>
  </si>
  <si>
    <t>Total no item 3</t>
  </si>
  <si>
    <t>Total no item 5</t>
  </si>
  <si>
    <t>SERVIÇOS PRELIMINARES</t>
  </si>
  <si>
    <t>FORRO</t>
  </si>
  <si>
    <t>SINAPI 85424</t>
  </si>
  <si>
    <t>SINAPI 97633</t>
  </si>
  <si>
    <t>SINAPI 91791</t>
  </si>
  <si>
    <t>Remoção de revestimento cerâmico manualmente, sem reaproveitamento.</t>
  </si>
  <si>
    <t>IPPUJ C10.72.19.90.065</t>
  </si>
  <si>
    <t>5.2</t>
  </si>
  <si>
    <t>5.3</t>
  </si>
  <si>
    <t>SINAPI 73838/001</t>
  </si>
  <si>
    <t>SINAPI 72120</t>
  </si>
  <si>
    <t>IPPUJ C10.36.30.15.015</t>
  </si>
  <si>
    <t>SINAPI 72289</t>
  </si>
  <si>
    <t>Chapa de policarbonato alveolar incolor (cristal), 10X2100x5800mm, com acessórios, instalada.</t>
  </si>
  <si>
    <t>Forro térmico de fibra mineral, removível, 15x625x625mm. Com perfis metálicos e acessórios, instalado.</t>
  </si>
  <si>
    <t>Remoção e readequação da fiação elétrica, com reaproveitamento.</t>
  </si>
  <si>
    <t>dia</t>
  </si>
  <si>
    <t>IPPUJ C30.50.15.05.005</t>
  </si>
  <si>
    <t>SINAPI 97622</t>
  </si>
  <si>
    <t xml:space="preserve">IPPUJ C10.68.20.05.040 </t>
  </si>
  <si>
    <t>IPPUJ C15.10.15.05.017</t>
  </si>
  <si>
    <t>IPPUJ C15.05.05.05.020</t>
  </si>
  <si>
    <t>ANDAIME</t>
  </si>
  <si>
    <t>Remoção de tubulações (tubos e conexões) pluviais, manualmente, sem reaproveitamento.</t>
  </si>
  <si>
    <t>SINAPI 97662</t>
  </si>
  <si>
    <t>SINAPI 72295</t>
  </si>
  <si>
    <t>Escavação mecanizada de vala com escavadeira hidráulica (0,8m³/111hp), 50x60, em solo de 1º categoria, em local com baixo nível de interferência.</t>
  </si>
  <si>
    <t>SINAPI 90093</t>
  </si>
  <si>
    <t>m³</t>
  </si>
  <si>
    <t>Contra piso em argamassa traço 1:4 (cimento e areia), preparo manual, incluso aditivo impermeabilizante, espessura 2cm.</t>
  </si>
  <si>
    <t>IPPUJ C10.48.05.20.035</t>
  </si>
  <si>
    <t>3.2</t>
  </si>
  <si>
    <t>3.3</t>
  </si>
  <si>
    <t>5.4</t>
  </si>
  <si>
    <t>SINAPI 74121/001</t>
  </si>
  <si>
    <t>Limpeza e manutenção de calhas, incluso troca de materiais caso haja necessidade.</t>
  </si>
  <si>
    <t>SINAPI 89590</t>
  </si>
  <si>
    <t>SINAPI 89591</t>
  </si>
  <si>
    <t>Remoção dos itens preventivos para readequação (incluso instalação de itens novos, se necessário).</t>
  </si>
  <si>
    <t>2.3</t>
  </si>
  <si>
    <t>2.4</t>
  </si>
  <si>
    <t>2.5</t>
  </si>
  <si>
    <t>2.6</t>
  </si>
  <si>
    <t>Andaime metálico modular de 1,5X1,00 de até 8m.</t>
  </si>
  <si>
    <t>loc/mês</t>
  </si>
  <si>
    <t>IPPUJ C25.41.05.05.005</t>
  </si>
  <si>
    <t>MERCADO</t>
  </si>
  <si>
    <t>Total no item 4</t>
  </si>
  <si>
    <t>9.1</t>
  </si>
  <si>
    <t>Total no item 9</t>
  </si>
  <si>
    <t>DEMOLIÇÕES/REMOÇÕES/ MANUTENÇÕES</t>
  </si>
  <si>
    <t xml:space="preserve">Manutenção no telhado, incluso troca de materiais caso haja necessidade. </t>
  </si>
  <si>
    <t>IPPUJ I16.05.05.05.2250</t>
  </si>
  <si>
    <t xml:space="preserve">Reaterro mecanizado com escavadeira hidráulica (0,8m³/P: 111hp), com solo de 1º categoria, em local de baixo nível de interferência, sem substitição do solo. </t>
  </si>
  <si>
    <t>SINAPI 93369</t>
  </si>
  <si>
    <t>Manutenção da estrutura metálica (cobertura existente).</t>
  </si>
  <si>
    <t>kg</t>
  </si>
  <si>
    <t>IPPUJ C15.05.05.15.005</t>
  </si>
  <si>
    <t>Junta serrada/dilatação para impermeabilização, com selante flexível a base de poliuretano, 20x20mm.</t>
  </si>
  <si>
    <t>Caixa de areia 60x60cm em alvenaria, executada.</t>
  </si>
  <si>
    <t>Caixa de inspeção 80x80cm em alvenaria, executada.</t>
  </si>
  <si>
    <t>SINAPI 72286</t>
  </si>
  <si>
    <t>IPPUJ C20.05.10.10.016</t>
  </si>
  <si>
    <t>Reparo de pavimentação em paver.</t>
  </si>
  <si>
    <t>IPPUJ C15.05.05.35.007</t>
  </si>
  <si>
    <t>ESCAVAÇÃO/ATERRO</t>
  </si>
  <si>
    <t>3.4</t>
  </si>
  <si>
    <t>Total no item 6</t>
  </si>
  <si>
    <t>10.</t>
  </si>
  <si>
    <t>10.1</t>
  </si>
  <si>
    <t>ALVENARIA</t>
  </si>
  <si>
    <t>SINAPI 72132</t>
  </si>
  <si>
    <t>Alvenaria em tijolo ceramico maciço 5x10x20cm 1/2 vez (espessura 10cm), assentado com argamassa traço 1:2:8.</t>
  </si>
  <si>
    <t>IPPUJ C10.48.10.15.005</t>
  </si>
  <si>
    <t>PÁTIO</t>
  </si>
  <si>
    <t>BANHEIROS</t>
  </si>
  <si>
    <t>ALTURA</t>
  </si>
  <si>
    <t>COMPRIMENTO</t>
  </si>
  <si>
    <t>TOTAL</t>
  </si>
  <si>
    <t xml:space="preserve">TOTAL </t>
  </si>
  <si>
    <t>PINTURA</t>
  </si>
  <si>
    <t>pintura</t>
  </si>
  <si>
    <t>lixamento</t>
  </si>
  <si>
    <t>selador</t>
  </si>
  <si>
    <t>CUSTO</t>
  </si>
  <si>
    <t>D 42780</t>
  </si>
  <si>
    <t>SINAPI 88423</t>
  </si>
  <si>
    <t>SINAPI 88415</t>
  </si>
  <si>
    <t>Limpeza de alvenaria para pintura.</t>
  </si>
  <si>
    <t>5.5</t>
  </si>
  <si>
    <t>5.6</t>
  </si>
  <si>
    <t>5.7</t>
  </si>
  <si>
    <t>5.8</t>
  </si>
  <si>
    <t>5.9</t>
  </si>
  <si>
    <t>9.2</t>
  </si>
  <si>
    <t>9.3</t>
  </si>
  <si>
    <t>9.4</t>
  </si>
  <si>
    <t>Total no item 10</t>
  </si>
  <si>
    <t>11.</t>
  </si>
  <si>
    <t>11.1</t>
  </si>
  <si>
    <t>Total no item 11</t>
  </si>
  <si>
    <t>12.</t>
  </si>
  <si>
    <t>12.1</t>
  </si>
  <si>
    <t>Total no item 12</t>
  </si>
  <si>
    <t>IPPUJ C15.15.05.58.005</t>
  </si>
  <si>
    <t>Manutenção de luminárias com adequação de altura.</t>
  </si>
  <si>
    <t>13.</t>
  </si>
  <si>
    <t>13.1</t>
  </si>
  <si>
    <t>Total no item 13</t>
  </si>
  <si>
    <t>Válvula de retenção pvc, 150mm, horizontal (instalado com conexões, cortes, prolongador e afins).</t>
  </si>
  <si>
    <t>Válvula de retenção pvc, 100mm, horizontal (instalado com conexões, cortes, prolongador e afins).</t>
  </si>
  <si>
    <t>Piso vinílico padrão liso, espessura 2mm, fixado com cola (adesivo específico).</t>
  </si>
  <si>
    <t>Pastilha cerâmica padrão alto 10x10cm, assentada sobre argamassa colante,  na cor branca (conforme pastilha existente).</t>
  </si>
  <si>
    <t>Fechamento dos tubos e ralos existentes com cap pvc 100mm, instalado.</t>
  </si>
  <si>
    <t>Tubo de PVC, cor cinza, série R, água pluvial, DN 150mm (instalado com conexões, cortes, fixação com suportes metálicos e afins).</t>
  </si>
  <si>
    <t>Joelho 90 graus, PVC, cor cinza, série R, água pluvial, DN 150mm, junta elástica (instalado com conexões, cortes, fixação e afins).</t>
  </si>
  <si>
    <t>Joelho 45 graus, PVC, cor cinza, série R, água pluvial, DN 150mm, junta elástica (instalado com conexões, cortes, fixação e afins).</t>
  </si>
  <si>
    <t>Tê, PVC, cor cinza, leve 90º curto, DN 150mm (instalado com conexões, cortes, fixação e afins).</t>
  </si>
  <si>
    <t>Porta de vidro temperado 10X900x2100mm, fixada em perfil metálico galvanizado, pré pintado na cor branca. (incluindo acessórios e instalação).</t>
  </si>
  <si>
    <t xml:space="preserve">Fechamento com vidro temperado incolor, espessura 10mm,  fixada em perfil metálico galvanizado, pré pintado na cor branca, com massa para vedação, instalado. </t>
  </si>
  <si>
    <t>Porta de vidro temperado 10x2000x2100mm de abrir, vai e vem, incolor,  com faixa de identificação, fixada em perfil metálico galvanizado, pré pintado na cor branca.  (incluindo acessórios e instalação).</t>
  </si>
  <si>
    <t>5.10</t>
  </si>
  <si>
    <t>5.11</t>
  </si>
  <si>
    <t>5.12</t>
  </si>
  <si>
    <t>5.13</t>
  </si>
  <si>
    <t>IPPUJ C20.05.15.10.020</t>
  </si>
  <si>
    <t>IPPUJ C20.05.15.15.020</t>
  </si>
  <si>
    <t>2.7</t>
  </si>
  <si>
    <t>2.8</t>
  </si>
  <si>
    <t>IPPUJ C30.37.05.90.061</t>
  </si>
  <si>
    <t>Recuperação de ferragens e esquadrias, remoção de tinta e ferrugens por meio de jateamento, substituição de eventuais peças danificadas, pintura galvanizada na cor branca.</t>
  </si>
  <si>
    <t>Sifão tipo garrafa, 1x1.1/2", metálico, incluso fornecimento e instalação.</t>
  </si>
  <si>
    <t>SINAPI 86881</t>
  </si>
  <si>
    <t>5.14</t>
  </si>
  <si>
    <t>Rasgo em concreto para passagem de tubulação de esgoto D= 40 a 100mm.</t>
  </si>
  <si>
    <t>2.9</t>
  </si>
  <si>
    <t>Piso cerâmico padrão alto 30X30 cm, assentado sobre argamassa colante pré-fabricada</t>
  </si>
  <si>
    <t>IPPUJ C10.44.15.05.005</t>
  </si>
  <si>
    <t>Lavatório de louça branco ou em cores sem coluna, colocado
c/ acessorios</t>
  </si>
  <si>
    <t>IPPUJ C10.72.19.60.001</t>
  </si>
  <si>
    <t>LOUÇA</t>
  </si>
  <si>
    <t>3.5</t>
  </si>
  <si>
    <t>Rasgo em alvenaria para passagem de tubulação de água fria.</t>
  </si>
  <si>
    <t>7.2</t>
  </si>
  <si>
    <t>7.3</t>
  </si>
  <si>
    <t>7.4</t>
  </si>
  <si>
    <t>Total no item 7</t>
  </si>
  <si>
    <t>8.</t>
  </si>
  <si>
    <t>9.</t>
  </si>
  <si>
    <t>10.2</t>
  </si>
  <si>
    <t>10.3</t>
  </si>
  <si>
    <t>10.4</t>
  </si>
  <si>
    <t>12.2</t>
  </si>
  <si>
    <t>12.3</t>
  </si>
  <si>
    <t>14.</t>
  </si>
  <si>
    <t>14.1</t>
  </si>
  <si>
    <t>Total  no item 8</t>
  </si>
  <si>
    <t>Total no item 14</t>
  </si>
  <si>
    <t>IPPUJ I21.20.05.05.0150</t>
  </si>
  <si>
    <t>Sinalização saída de emergência, acrílica uma face, estruturas
laterais e fundo em chapa de pvc pintada, iluminção interna de
lãmpadas florescentes, dimensões (0,80 x 060 x 010)m.</t>
  </si>
  <si>
    <t>Tubo de PVC, série normal, esgoto predial, DN 50mm (instalado com conexões, cortes, fixação com suportes metálicos e afins).</t>
  </si>
  <si>
    <t>Joelho 90 graus, pvc, soldavél, DN 50 mm, instalado em prumada de água. (fornecimento e instalação)</t>
  </si>
  <si>
    <t>SINAPI 89501</t>
  </si>
  <si>
    <t>Tê, PVC, soldável, DN 50 mm, instalado em prumada de água (fornecimento e instalação).</t>
  </si>
  <si>
    <t>SINAPI 89625</t>
  </si>
  <si>
    <t>Joelho 90 graus, pvc, série normal, esgoto predial, DN 50 mm, junta elástica, instalado em ramal de esgoto (fornecimento e instalação).</t>
  </si>
  <si>
    <t>Tubo de PVC, soldável, DN 50mm, instalado em prumada de água, com conexões, cortes, fixação com suportes metálicos e afins (fornecimento e instalação).</t>
  </si>
  <si>
    <t>SINAPI 89449</t>
  </si>
  <si>
    <t>5.15</t>
  </si>
  <si>
    <t>SINAPI 89580</t>
  </si>
  <si>
    <t>SINAPI 9537</t>
  </si>
  <si>
    <t>DEINFRA 42780</t>
  </si>
  <si>
    <t>SINAPI 72185</t>
  </si>
  <si>
    <t>IPPUJ C10.52.25.05.005</t>
  </si>
  <si>
    <t>Remoção manual  em paver.</t>
  </si>
  <si>
    <t>RAMPA</t>
  </si>
  <si>
    <t>IPPUJ C35.12.05.15.006</t>
  </si>
  <si>
    <t>Recolocação de paver esp.: 8 cm, sobre base de brita e lastro de areia, incl. preparação de cx, reaproveitamento de 90%.</t>
  </si>
  <si>
    <t>IPPUJ C35.10.05.10.007</t>
  </si>
  <si>
    <t>Remoção manual de paver.</t>
  </si>
  <si>
    <t>15.</t>
  </si>
  <si>
    <t>15.1</t>
  </si>
  <si>
    <t>Total no item 15</t>
  </si>
  <si>
    <t xml:space="preserve">Aterro com saibro (incluso fornecimento, carga, transporte e compactação) para nivelamento da greide. </t>
  </si>
  <si>
    <t>IPPUJ C10.48.05.20.001</t>
  </si>
  <si>
    <t>Argamassa traço 1:2:8 (cimento, cal e areia sem peneirar), preparo manual.</t>
  </si>
  <si>
    <t>4.2</t>
  </si>
  <si>
    <t>Demolição de mocheta em alvenaria, sem reaproveitamento.</t>
  </si>
  <si>
    <t>Execução da obra: 90 dias.</t>
  </si>
  <si>
    <t>EDMUNDO DE J. ARAUJO JUNIOR</t>
  </si>
  <si>
    <t>Engenheiro Civil/CREA 053.875-8</t>
  </si>
  <si>
    <t>Sinalização e isolamento de obra com tela plástica com malha de 5mm e estrutura de madeira pontaleteada.</t>
  </si>
  <si>
    <t>COMPLEMENTOS</t>
  </si>
  <si>
    <t>IPPUJ C01.10.05.10.015</t>
  </si>
  <si>
    <t>Ar condicionado 60 mil BTUs piso-teto, instalado (incluso ponto elétrico, drenos, cabeamento de cobre e demais acessórios).</t>
  </si>
  <si>
    <t xml:space="preserve">Gaspar, 29 de maio de 2018.                                                                                                                                                                     </t>
  </si>
  <si>
    <t xml:space="preserve">Nota: Valores em reais.                                                                                                                                                                      </t>
  </si>
  <si>
    <t>INTERNO</t>
  </si>
  <si>
    <t>Aplicação manual de fundo selador acrílico em paredes.</t>
  </si>
  <si>
    <t>Pintura manual com tinta texturizada acrílica, uma cor.</t>
  </si>
  <si>
    <t>11.2</t>
  </si>
  <si>
    <t>11.3</t>
  </si>
  <si>
    <t>OBRA: Reforma do Pátio - CDI Sônia Gioconda Beduschi Buzzi</t>
  </si>
  <si>
    <t>Local: Rua Antônio Moser, 110, Bairro: Bela Vista</t>
  </si>
  <si>
    <t>ORÇAMENTO</t>
  </si>
</sst>
</file>

<file path=xl/styles.xml><?xml version="1.0" encoding="utf-8"?>
<styleSheet xmlns="http://schemas.openxmlformats.org/spreadsheetml/2006/main">
  <numFmts count="1">
    <numFmt numFmtId="164" formatCode="#,##0.00\ ;\-#,##0.00\ ;&quot; -&quot;#\ ;@\ 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Courier"/>
      <family val="3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sz val="11.5"/>
      <name val="Arial Narrow"/>
      <family val="2"/>
    </font>
    <font>
      <sz val="11.5"/>
      <name val="Arial Narrow"/>
      <family val="2"/>
    </font>
    <font>
      <sz val="11.5"/>
      <color theme="1"/>
      <name val="Arial Narrow"/>
      <family val="2"/>
    </font>
    <font>
      <sz val="12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 tint="-0.34998626667073579"/>
        <b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/>
    <xf numFmtId="0" fontId="10" fillId="0" borderId="0"/>
  </cellStyleXfs>
  <cellXfs count="174">
    <xf numFmtId="0" fontId="0" fillId="0" borderId="0" xfId="0"/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2" fontId="0" fillId="0" borderId="0" xfId="0" applyNumberFormat="1"/>
    <xf numFmtId="0" fontId="0" fillId="0" borderId="0" xfId="0"/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0" xfId="0"/>
    <xf numFmtId="4" fontId="0" fillId="0" borderId="0" xfId="0" applyNumberFormat="1"/>
    <xf numFmtId="0" fontId="11" fillId="9" borderId="1" xfId="6" applyFont="1" applyFill="1" applyBorder="1" applyAlignment="1">
      <alignment horizontal="center" vertical="center" wrapText="1"/>
    </xf>
    <xf numFmtId="0" fontId="11" fillId="9" borderId="1" xfId="6" applyNumberFormat="1" applyFont="1" applyFill="1" applyBorder="1" applyAlignment="1">
      <alignment horizontal="center" vertical="center" wrapText="1"/>
    </xf>
    <xf numFmtId="0" fontId="11" fillId="9" borderId="1" xfId="6" applyFont="1" applyFill="1" applyBorder="1" applyAlignment="1">
      <alignment horizontal="left" vertical="center" wrapText="1"/>
    </xf>
    <xf numFmtId="4" fontId="11" fillId="9" borderId="1" xfId="6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7" borderId="1" xfId="6" applyFont="1" applyFill="1" applyBorder="1" applyAlignment="1">
      <alignment horizontal="center" vertical="center" wrapText="1"/>
    </xf>
    <xf numFmtId="0" fontId="12" fillId="7" borderId="1" xfId="6" applyFont="1" applyFill="1" applyBorder="1" applyAlignment="1">
      <alignment horizontal="left" vertical="center" wrapText="1"/>
    </xf>
    <xf numFmtId="2" fontId="12" fillId="7" borderId="1" xfId="6" applyNumberFormat="1" applyFont="1" applyFill="1" applyBorder="1" applyAlignment="1">
      <alignment horizontal="center" vertical="center" wrapText="1"/>
    </xf>
    <xf numFmtId="0" fontId="11" fillId="7" borderId="1" xfId="6" applyFont="1" applyFill="1" applyBorder="1" applyAlignment="1">
      <alignment horizontal="center" vertical="center" wrapText="1"/>
    </xf>
    <xf numFmtId="0" fontId="11" fillId="7" borderId="1" xfId="6" applyFont="1" applyFill="1" applyBorder="1" applyAlignment="1">
      <alignment horizontal="left" vertical="center" wrapText="1"/>
    </xf>
    <xf numFmtId="0" fontId="11" fillId="8" borderId="1" xfId="6" applyFont="1" applyFill="1" applyBorder="1" applyAlignment="1">
      <alignment horizontal="center" vertical="center" wrapText="1"/>
    </xf>
    <xf numFmtId="0" fontId="11" fillId="8" borderId="1" xfId="6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 applyBorder="1" applyAlignment="1">
      <alignment horizontal="left" vertical="center" wrapText="1"/>
    </xf>
    <xf numFmtId="2" fontId="8" fillId="0" borderId="0" xfId="0" applyNumberFormat="1" applyFont="1" applyBorder="1" applyAlignment="1">
      <alignment horizontal="center" vertical="center"/>
    </xf>
    <xf numFmtId="0" fontId="12" fillId="9" borderId="1" xfId="6" applyFont="1" applyFill="1" applyBorder="1" applyAlignment="1">
      <alignment horizontal="center" vertical="center" wrapText="1"/>
    </xf>
    <xf numFmtId="0" fontId="12" fillId="9" borderId="1" xfId="6" applyNumberFormat="1" applyFont="1" applyFill="1" applyBorder="1" applyAlignment="1">
      <alignment horizontal="center" vertical="center" wrapText="1"/>
    </xf>
    <xf numFmtId="0" fontId="12" fillId="9" borderId="1" xfId="6" applyFont="1" applyFill="1" applyBorder="1" applyAlignment="1">
      <alignment horizontal="left" vertical="center" wrapText="1"/>
    </xf>
    <xf numFmtId="4" fontId="12" fillId="9" borderId="1" xfId="6" applyNumberFormat="1" applyFont="1" applyFill="1" applyBorder="1" applyAlignment="1">
      <alignment horizontal="center" vertical="center" wrapText="1"/>
    </xf>
    <xf numFmtId="0" fontId="13" fillId="7" borderId="1" xfId="6" applyFont="1" applyFill="1" applyBorder="1" applyAlignment="1">
      <alignment horizontal="center" vertical="center" wrapText="1"/>
    </xf>
    <xf numFmtId="2" fontId="13" fillId="7" borderId="1" xfId="6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/>
    <xf numFmtId="2" fontId="0" fillId="0" borderId="4" xfId="0" applyNumberFormat="1" applyBorder="1"/>
    <xf numFmtId="2" fontId="0" fillId="0" borderId="0" xfId="0" applyNumberFormat="1" applyBorder="1"/>
    <xf numFmtId="0" fontId="0" fillId="0" borderId="5" xfId="0" applyBorder="1"/>
    <xf numFmtId="2" fontId="0" fillId="0" borderId="5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10" xfId="0" applyBorder="1"/>
    <xf numFmtId="2" fontId="0" fillId="0" borderId="10" xfId="0" applyNumberFormat="1" applyBorder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1" xfId="0" applyBorder="1"/>
    <xf numFmtId="2" fontId="0" fillId="0" borderId="11" xfId="0" applyNumberFormat="1" applyBorder="1"/>
    <xf numFmtId="2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/>
    <xf numFmtId="4" fontId="2" fillId="0" borderId="0" xfId="0" applyNumberFormat="1" applyFont="1" applyBorder="1" applyAlignment="1">
      <alignment vertical="center"/>
    </xf>
    <xf numFmtId="4" fontId="0" fillId="0" borderId="0" xfId="0" applyNumberFormat="1" applyBorder="1"/>
    <xf numFmtId="4" fontId="0" fillId="0" borderId="0" xfId="0" applyNumberFormat="1" applyBorder="1" applyAlignment="1">
      <alignment horizontal="center" vertical="center"/>
    </xf>
    <xf numFmtId="0" fontId="18" fillId="4" borderId="1" xfId="2" applyFont="1" applyFill="1" applyBorder="1" applyAlignment="1">
      <alignment horizontal="center" vertical="center" wrapText="1"/>
    </xf>
    <xf numFmtId="0" fontId="18" fillId="4" borderId="1" xfId="2" applyFont="1" applyFill="1" applyBorder="1" applyAlignment="1">
      <alignment horizontal="left" vertical="center" wrapText="1"/>
    </xf>
    <xf numFmtId="2" fontId="18" fillId="4" borderId="1" xfId="2" applyNumberFormat="1" applyFont="1" applyFill="1" applyBorder="1" applyAlignment="1">
      <alignment horizontal="center" vertical="center" wrapText="1"/>
    </xf>
    <xf numFmtId="4" fontId="18" fillId="4" borderId="1" xfId="2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2" fontId="19" fillId="5" borderId="1" xfId="1" applyNumberFormat="1" applyFont="1" applyFill="1" applyBorder="1" applyAlignment="1" applyProtection="1">
      <alignment horizontal="center" vertical="center" wrapText="1"/>
    </xf>
    <xf numFmtId="4" fontId="19" fillId="0" borderId="1" xfId="2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4" fontId="20" fillId="3" borderId="1" xfId="0" applyNumberFormat="1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left" vertical="center" wrapText="1"/>
    </xf>
    <xf numFmtId="2" fontId="19" fillId="5" borderId="1" xfId="2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2" fontId="20" fillId="5" borderId="1" xfId="1" applyNumberFormat="1" applyFont="1" applyFill="1" applyBorder="1" applyAlignment="1" applyProtection="1">
      <alignment horizontal="center" vertical="center" wrapText="1"/>
    </xf>
    <xf numFmtId="4" fontId="20" fillId="0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5" borderId="1" xfId="2" applyFont="1" applyFill="1" applyBorder="1" applyAlignment="1">
      <alignment horizontal="left" vertical="center" wrapText="1"/>
    </xf>
    <xf numFmtId="4" fontId="19" fillId="0" borderId="1" xfId="2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4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2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8" fillId="2" borderId="1" xfId="2" applyFont="1" applyFill="1" applyBorder="1" applyAlignment="1">
      <alignment horizontal="center" vertical="center" wrapText="1"/>
    </xf>
    <xf numFmtId="0" fontId="24" fillId="2" borderId="1" xfId="2" applyFont="1" applyFill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left" vertical="center" wrapText="1"/>
    </xf>
    <xf numFmtId="2" fontId="18" fillId="2" borderId="1" xfId="2" applyNumberFormat="1" applyFont="1" applyFill="1" applyBorder="1" applyAlignment="1">
      <alignment horizontal="center" vertical="center" wrapText="1"/>
    </xf>
    <xf numFmtId="4" fontId="18" fillId="2" borderId="1" xfId="2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3" fontId="18" fillId="4" borderId="1" xfId="2" applyNumberFormat="1" applyFont="1" applyFill="1" applyBorder="1" applyAlignment="1">
      <alignment horizontal="center" vertical="center" wrapText="1"/>
    </xf>
    <xf numFmtId="3" fontId="19" fillId="5" borderId="1" xfId="2" applyNumberFormat="1" applyFont="1" applyFill="1" applyBorder="1" applyAlignment="1">
      <alignment horizontal="center" vertical="center" wrapText="1"/>
    </xf>
    <xf numFmtId="3" fontId="20" fillId="5" borderId="1" xfId="2" applyNumberFormat="1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/>
    </xf>
    <xf numFmtId="2" fontId="2" fillId="0" borderId="15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0" fontId="17" fillId="0" borderId="21" xfId="0" applyFont="1" applyBorder="1" applyAlignment="1">
      <alignment horizontal="center" vertical="center" wrapText="1"/>
    </xf>
    <xf numFmtId="2" fontId="4" fillId="0" borderId="21" xfId="0" applyNumberFormat="1" applyFont="1" applyBorder="1" applyAlignment="1"/>
    <xf numFmtId="4" fontId="4" fillId="0" borderId="21" xfId="0" applyNumberFormat="1" applyFont="1" applyBorder="1" applyAlignment="1">
      <alignment horizontal="center"/>
    </xf>
    <xf numFmtId="4" fontId="5" fillId="0" borderId="21" xfId="1" applyNumberFormat="1" applyFont="1" applyBorder="1" applyAlignment="1">
      <alignment horizontal="center"/>
    </xf>
    <xf numFmtId="4" fontId="0" fillId="0" borderId="21" xfId="0" applyNumberFormat="1" applyBorder="1"/>
    <xf numFmtId="4" fontId="6" fillId="0" borderId="22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18" fillId="2" borderId="1" xfId="2" applyNumberFormat="1" applyFont="1" applyFill="1" applyBorder="1" applyAlignment="1">
      <alignment horizontal="right" vertical="center" wrapText="1"/>
    </xf>
    <xf numFmtId="4" fontId="18" fillId="4" borderId="1" xfId="2" applyNumberFormat="1" applyFont="1" applyFill="1" applyBorder="1" applyAlignment="1">
      <alignment horizontal="right" vertical="center" wrapText="1"/>
    </xf>
    <xf numFmtId="4" fontId="19" fillId="5" borderId="1" xfId="2" applyNumberFormat="1" applyFont="1" applyFill="1" applyBorder="1" applyAlignment="1">
      <alignment horizontal="right" vertical="center" wrapText="1"/>
    </xf>
    <xf numFmtId="4" fontId="18" fillId="11" borderId="1" xfId="2" applyNumberFormat="1" applyFont="1" applyFill="1" applyBorder="1" applyAlignment="1">
      <alignment horizontal="right" vertical="center" wrapText="1"/>
    </xf>
    <xf numFmtId="4" fontId="20" fillId="5" borderId="1" xfId="2" applyNumberFormat="1" applyFont="1" applyFill="1" applyBorder="1" applyAlignment="1">
      <alignment horizontal="right" vertical="center" wrapText="1"/>
    </xf>
    <xf numFmtId="4" fontId="18" fillId="11" borderId="23" xfId="2" applyNumberFormat="1" applyFont="1" applyFill="1" applyBorder="1" applyAlignment="1">
      <alignment horizontal="right" vertical="center" wrapText="1"/>
    </xf>
    <xf numFmtId="4" fontId="18" fillId="4" borderId="11" xfId="2" applyNumberFormat="1" applyFont="1" applyFill="1" applyBorder="1" applyAlignment="1">
      <alignment horizontal="right" vertical="center" wrapText="1"/>
    </xf>
    <xf numFmtId="4" fontId="0" fillId="0" borderId="0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right" vertical="center" wrapText="1"/>
    </xf>
    <xf numFmtId="0" fontId="18" fillId="6" borderId="12" xfId="2" applyFont="1" applyFill="1" applyBorder="1" applyAlignment="1">
      <alignment horizontal="left" vertical="center"/>
    </xf>
    <xf numFmtId="0" fontId="18" fillId="6" borderId="13" xfId="2" applyFont="1" applyFill="1" applyBorder="1" applyAlignment="1">
      <alignment horizontal="left" vertical="center"/>
    </xf>
    <xf numFmtId="0" fontId="18" fillId="6" borderId="14" xfId="2" applyFont="1" applyFill="1" applyBorder="1" applyAlignment="1">
      <alignment horizontal="left" vertical="center"/>
    </xf>
    <xf numFmtId="0" fontId="20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17" fillId="0" borderId="0" xfId="0" applyFont="1" applyBorder="1" applyAlignment="1">
      <alignment horizontal="left" vertical="center" wrapText="1"/>
    </xf>
    <xf numFmtId="0" fontId="18" fillId="2" borderId="23" xfId="2" applyFont="1" applyFill="1" applyBorder="1" applyAlignment="1">
      <alignment horizontal="left" vertical="center" wrapText="1"/>
    </xf>
    <xf numFmtId="0" fontId="0" fillId="0" borderId="0" xfId="0"/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" fontId="11" fillId="10" borderId="1" xfId="6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11" fillId="10" borderId="7" xfId="6" applyNumberFormat="1" applyFont="1" applyFill="1" applyBorder="1" applyAlignment="1">
      <alignment horizontal="center" vertical="center" wrapText="1"/>
    </xf>
    <xf numFmtId="4" fontId="11" fillId="10" borderId="6" xfId="6" applyNumberFormat="1" applyFont="1" applyFill="1" applyBorder="1" applyAlignment="1">
      <alignment horizontal="center" vertical="center" wrapText="1"/>
    </xf>
    <xf numFmtId="4" fontId="11" fillId="10" borderId="2" xfId="6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7">
    <cellStyle name="Excel Built-in Normal" xfId="2"/>
    <cellStyle name="Excel Built-in Normal 1 2" xfId="4"/>
    <cellStyle name="Excel Built-in Normal 2" xfId="3"/>
    <cellStyle name="Normal" xfId="0" builtinId="0"/>
    <cellStyle name="Normal_Pesquisa no referencial 10 de maio de 2013" xfId="6"/>
    <cellStyle name="Porcentagem" xfId="1" builtinId="5"/>
    <cellStyle name="Vírgula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187738</xdr:colOff>
      <xdr:row>1</xdr:row>
      <xdr:rowOff>0</xdr:rowOff>
    </xdr:from>
    <xdr:to>
      <xdr:col>1</xdr:col>
      <xdr:colOff>914400</xdr:colOff>
      <xdr:row>4</xdr:row>
      <xdr:rowOff>171450</xdr:rowOff>
    </xdr:to>
    <xdr:pic>
      <xdr:nvPicPr>
        <xdr:cNvPr id="3" name="Imagem 3" descr="bandeira GASPA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7738" y="190500"/>
          <a:ext cx="1155287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323118</xdr:colOff>
      <xdr:row>0</xdr:row>
      <xdr:rowOff>103309</xdr:rowOff>
    </xdr:from>
    <xdr:to>
      <xdr:col>7</xdr:col>
      <xdr:colOff>475518</xdr:colOff>
      <xdr:row>4</xdr:row>
      <xdr:rowOff>131885</xdr:rowOff>
    </xdr:to>
    <xdr:pic>
      <xdr:nvPicPr>
        <xdr:cNvPr id="4" name="Imagem 4" descr="brasao_oficial_peque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14618" y="103309"/>
          <a:ext cx="914400" cy="863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7"/>
  <sheetViews>
    <sheetView tabSelected="1" topLeftCell="A37" workbookViewId="0">
      <selection activeCell="H104" sqref="A1:H104"/>
    </sheetView>
  </sheetViews>
  <sheetFormatPr defaultRowHeight="15"/>
  <cols>
    <col min="1" max="1" width="6.42578125" customWidth="1"/>
    <col min="2" max="2" width="15.140625" customWidth="1"/>
    <col min="3" max="3" width="69.28515625" style="7" customWidth="1"/>
    <col min="4" max="4" width="9.140625" style="9"/>
    <col min="5" max="5" width="10.5703125" style="16" customWidth="1"/>
    <col min="6" max="6" width="12.140625" style="16" customWidth="1"/>
    <col min="7" max="7" width="11.42578125" style="16" customWidth="1"/>
    <col min="8" max="8" width="13.7109375" style="138" bestFit="1" customWidth="1"/>
  </cols>
  <sheetData>
    <row r="1" spans="1:18" ht="15" customHeight="1">
      <c r="A1" s="149"/>
      <c r="B1" s="150"/>
      <c r="C1" s="118" t="s">
        <v>29</v>
      </c>
      <c r="D1" s="119"/>
      <c r="E1" s="120"/>
      <c r="F1" s="120"/>
      <c r="G1" s="120"/>
      <c r="H1" s="127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>
      <c r="A2" s="151"/>
      <c r="B2" s="152"/>
      <c r="C2" s="99" t="s">
        <v>30</v>
      </c>
      <c r="D2" s="8"/>
      <c r="E2" s="73"/>
      <c r="F2" s="73"/>
      <c r="G2" s="73"/>
      <c r="H2" s="128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" customHeight="1">
      <c r="A3" s="151"/>
      <c r="B3" s="152"/>
      <c r="C3" s="155" t="s">
        <v>290</v>
      </c>
      <c r="D3" s="8"/>
      <c r="E3" s="73"/>
      <c r="F3" s="73"/>
      <c r="G3" s="73"/>
      <c r="H3" s="128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8">
      <c r="A4" s="151"/>
      <c r="B4" s="152"/>
      <c r="C4" s="155"/>
      <c r="D4" s="8"/>
      <c r="E4" s="73"/>
      <c r="F4" s="73"/>
      <c r="G4" s="73"/>
      <c r="H4" s="128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15" customFormat="1" ht="18">
      <c r="A5" s="151"/>
      <c r="B5" s="152"/>
      <c r="C5" s="100" t="s">
        <v>291</v>
      </c>
      <c r="D5" s="8"/>
      <c r="E5" s="73"/>
      <c r="F5" s="73"/>
      <c r="G5" s="73"/>
      <c r="H5" s="128"/>
    </row>
    <row r="6" spans="1:18" ht="18" customHeight="1">
      <c r="A6" s="153"/>
      <c r="B6" s="154"/>
      <c r="C6" s="121" t="s">
        <v>292</v>
      </c>
      <c r="D6" s="122"/>
      <c r="E6" s="123" t="s">
        <v>0</v>
      </c>
      <c r="F6" s="124">
        <v>0.26850000000000002</v>
      </c>
      <c r="G6" s="125"/>
      <c r="H6" s="126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33">
      <c r="A7" s="109" t="s">
        <v>1</v>
      </c>
      <c r="B7" s="110" t="s">
        <v>2</v>
      </c>
      <c r="C7" s="111" t="s">
        <v>3</v>
      </c>
      <c r="D7" s="112" t="s">
        <v>11</v>
      </c>
      <c r="E7" s="113" t="s">
        <v>4</v>
      </c>
      <c r="F7" s="114" t="s">
        <v>5</v>
      </c>
      <c r="G7" s="114" t="s">
        <v>6</v>
      </c>
      <c r="H7" s="129" t="s">
        <v>7</v>
      </c>
      <c r="I7" s="3"/>
      <c r="J7" s="3"/>
      <c r="K7" s="3"/>
      <c r="L7" s="3"/>
      <c r="M7" s="3"/>
      <c r="N7" s="3"/>
      <c r="O7" s="3"/>
      <c r="P7" s="3"/>
      <c r="Q7" s="157"/>
      <c r="R7" s="157"/>
    </row>
    <row r="8" spans="1:18" s="41" customFormat="1" ht="16.5">
      <c r="A8" s="115" t="s">
        <v>8</v>
      </c>
      <c r="B8" s="76"/>
      <c r="C8" s="77" t="s">
        <v>88</v>
      </c>
      <c r="D8" s="78"/>
      <c r="E8" s="79"/>
      <c r="F8" s="79"/>
      <c r="G8" s="79"/>
      <c r="H8" s="130"/>
    </row>
    <row r="9" spans="1:18" s="41" customFormat="1" ht="33">
      <c r="A9" s="116" t="s">
        <v>9</v>
      </c>
      <c r="B9" s="104" t="s">
        <v>90</v>
      </c>
      <c r="C9" s="80" t="s">
        <v>279</v>
      </c>
      <c r="D9" s="81" t="s">
        <v>82</v>
      </c>
      <c r="E9" s="82">
        <v>23.1</v>
      </c>
      <c r="F9" s="83">
        <v>21.58</v>
      </c>
      <c r="G9" s="83">
        <f>ROUND(F9*1.2685,2)</f>
        <v>27.37</v>
      </c>
      <c r="H9" s="131">
        <f>ROUND(G9*E9,2)</f>
        <v>632.25</v>
      </c>
      <c r="J9" s="5"/>
    </row>
    <row r="10" spans="1:18" s="41" customFormat="1" ht="15" customHeight="1">
      <c r="A10" s="148" t="s">
        <v>84</v>
      </c>
      <c r="B10" s="148"/>
      <c r="C10" s="148"/>
      <c r="D10" s="148"/>
      <c r="E10" s="148"/>
      <c r="F10" s="148"/>
      <c r="G10" s="148"/>
      <c r="H10" s="132">
        <f>SUM(H9:H9,)</f>
        <v>632.25</v>
      </c>
    </row>
    <row r="11" spans="1:18" s="14" customFormat="1" ht="16.5">
      <c r="A11" s="115" t="s">
        <v>12</v>
      </c>
      <c r="B11" s="76"/>
      <c r="C11" s="77" t="s">
        <v>138</v>
      </c>
      <c r="D11" s="78"/>
      <c r="E11" s="79"/>
      <c r="F11" s="79"/>
      <c r="G11" s="84"/>
      <c r="H11" s="130"/>
    </row>
    <row r="12" spans="1:18" s="41" customFormat="1" ht="16.5">
      <c r="A12" s="96" t="s">
        <v>13</v>
      </c>
      <c r="B12" s="101" t="s">
        <v>91</v>
      </c>
      <c r="C12" s="85" t="s">
        <v>93</v>
      </c>
      <c r="D12" s="86" t="s">
        <v>82</v>
      </c>
      <c r="E12" s="87">
        <v>237.45</v>
      </c>
      <c r="F12" s="87">
        <v>16.73</v>
      </c>
      <c r="G12" s="83">
        <f t="shared" ref="G12:G19" si="0">ROUND(F12*1.2685,2)</f>
        <v>21.22</v>
      </c>
      <c r="H12" s="131">
        <f t="shared" ref="H12:H19" si="1">ROUND(G12*E12,2)</f>
        <v>5038.6899999999996</v>
      </c>
    </row>
    <row r="13" spans="1:18" s="45" customFormat="1" ht="16.5">
      <c r="A13" s="96" t="s">
        <v>16</v>
      </c>
      <c r="B13" s="101" t="s">
        <v>106</v>
      </c>
      <c r="C13" s="85" t="s">
        <v>275</v>
      </c>
      <c r="D13" s="86" t="s">
        <v>116</v>
      </c>
      <c r="E13" s="87">
        <v>0.16</v>
      </c>
      <c r="F13" s="87">
        <v>42.57</v>
      </c>
      <c r="G13" s="83">
        <f t="shared" si="0"/>
        <v>54</v>
      </c>
      <c r="H13" s="131">
        <f t="shared" si="1"/>
        <v>8.64</v>
      </c>
    </row>
    <row r="14" spans="1:18" s="45" customFormat="1" ht="33">
      <c r="A14" s="96" t="s">
        <v>127</v>
      </c>
      <c r="B14" s="101" t="s">
        <v>108</v>
      </c>
      <c r="C14" s="85" t="s">
        <v>123</v>
      </c>
      <c r="D14" s="81" t="s">
        <v>83</v>
      </c>
      <c r="E14" s="88">
        <v>48.8</v>
      </c>
      <c r="F14" s="87">
        <f>5.73*1.1138</f>
        <v>6.3820740000000002</v>
      </c>
      <c r="G14" s="83">
        <f t="shared" si="0"/>
        <v>8.1</v>
      </c>
      <c r="H14" s="131">
        <f t="shared" si="1"/>
        <v>395.28</v>
      </c>
    </row>
    <row r="15" spans="1:18" s="44" customFormat="1" ht="33" customHeight="1">
      <c r="A15" s="97" t="s">
        <v>128</v>
      </c>
      <c r="B15" s="102" t="s">
        <v>109</v>
      </c>
      <c r="C15" s="85" t="s">
        <v>139</v>
      </c>
      <c r="D15" s="81" t="s">
        <v>82</v>
      </c>
      <c r="E15" s="88">
        <v>3.6</v>
      </c>
      <c r="F15" s="89">
        <f>17.82*1.1138</f>
        <v>19.847915999999998</v>
      </c>
      <c r="G15" s="88">
        <f t="shared" si="0"/>
        <v>25.18</v>
      </c>
      <c r="H15" s="131">
        <f t="shared" si="1"/>
        <v>90.65</v>
      </c>
    </row>
    <row r="16" spans="1:18" s="44" customFormat="1" ht="33">
      <c r="A16" s="97" t="s">
        <v>129</v>
      </c>
      <c r="B16" s="105" t="s">
        <v>112</v>
      </c>
      <c r="C16" s="85" t="s">
        <v>111</v>
      </c>
      <c r="D16" s="81" t="s">
        <v>83</v>
      </c>
      <c r="E16" s="88">
        <v>62.6</v>
      </c>
      <c r="F16" s="89">
        <v>0.37</v>
      </c>
      <c r="G16" s="88">
        <f t="shared" si="0"/>
        <v>0.47</v>
      </c>
      <c r="H16" s="131">
        <f t="shared" si="1"/>
        <v>29.42</v>
      </c>
    </row>
    <row r="17" spans="1:10" s="46" customFormat="1" ht="27">
      <c r="A17" s="117" t="s">
        <v>130</v>
      </c>
      <c r="B17" s="104" t="s">
        <v>145</v>
      </c>
      <c r="C17" s="80" t="s">
        <v>143</v>
      </c>
      <c r="D17" s="90" t="s">
        <v>144</v>
      </c>
      <c r="E17" s="91">
        <v>1080</v>
      </c>
      <c r="F17" s="83">
        <f>2.49*1.1138</f>
        <v>2.7733620000000001</v>
      </c>
      <c r="G17" s="83">
        <f t="shared" si="0"/>
        <v>3.52</v>
      </c>
      <c r="H17" s="133">
        <f>ROUND(G17*E17,2)</f>
        <v>3801.6</v>
      </c>
      <c r="J17" s="47"/>
    </row>
    <row r="18" spans="1:10" s="46" customFormat="1" ht="49.5">
      <c r="A18" s="117" t="s">
        <v>215</v>
      </c>
      <c r="B18" s="104" t="s">
        <v>217</v>
      </c>
      <c r="C18" s="80" t="s">
        <v>218</v>
      </c>
      <c r="D18" s="90" t="s">
        <v>82</v>
      </c>
      <c r="E18" s="91">
        <f>14*1.89</f>
        <v>26.459999999999997</v>
      </c>
      <c r="F18" s="83">
        <f>40.75*1.1138</f>
        <v>45.387349999999998</v>
      </c>
      <c r="G18" s="83">
        <f t="shared" ref="G18" si="2">ROUND(F18*1.2685,2)</f>
        <v>57.57</v>
      </c>
      <c r="H18" s="133">
        <f>ROUND(G18*E18,2)</f>
        <v>1523.3</v>
      </c>
      <c r="J18" s="47"/>
    </row>
    <row r="19" spans="1:10" s="46" customFormat="1" ht="27">
      <c r="A19" s="117" t="s">
        <v>216</v>
      </c>
      <c r="B19" s="104" t="s">
        <v>214</v>
      </c>
      <c r="C19" s="80" t="s">
        <v>230</v>
      </c>
      <c r="D19" s="90" t="s">
        <v>83</v>
      </c>
      <c r="E19" s="91">
        <v>3</v>
      </c>
      <c r="F19" s="83">
        <f>6.54*1.1138</f>
        <v>7.2842519999999995</v>
      </c>
      <c r="G19" s="83">
        <f t="shared" si="0"/>
        <v>9.24</v>
      </c>
      <c r="H19" s="133">
        <f t="shared" si="1"/>
        <v>27.72</v>
      </c>
      <c r="J19" s="47"/>
    </row>
    <row r="20" spans="1:10" s="46" customFormat="1" ht="27">
      <c r="A20" s="117" t="s">
        <v>223</v>
      </c>
      <c r="B20" s="104" t="s">
        <v>213</v>
      </c>
      <c r="C20" s="80" t="s">
        <v>222</v>
      </c>
      <c r="D20" s="90" t="s">
        <v>83</v>
      </c>
      <c r="E20" s="91">
        <v>2</v>
      </c>
      <c r="F20" s="83">
        <f>77.55*1.1138</f>
        <v>86.375189999999989</v>
      </c>
      <c r="G20" s="83">
        <f t="shared" ref="G20" si="3">ROUND(F20*1.2685,2)</f>
        <v>109.57</v>
      </c>
      <c r="H20" s="133">
        <f t="shared" ref="H20" si="4">ROUND(G20*E20,2)</f>
        <v>219.14</v>
      </c>
      <c r="J20" s="47"/>
    </row>
    <row r="21" spans="1:10" s="14" customFormat="1" ht="15.75" customHeight="1">
      <c r="A21" s="148" t="s">
        <v>85</v>
      </c>
      <c r="B21" s="148"/>
      <c r="C21" s="148"/>
      <c r="D21" s="148"/>
      <c r="E21" s="148"/>
      <c r="F21" s="148"/>
      <c r="G21" s="148"/>
      <c r="H21" s="132">
        <f>SUM(H12:H20,)</f>
        <v>11134.439999999997</v>
      </c>
    </row>
    <row r="22" spans="1:10" s="14" customFormat="1" ht="16.5">
      <c r="A22" s="115" t="s">
        <v>17</v>
      </c>
      <c r="B22" s="76"/>
      <c r="C22" s="77" t="s">
        <v>15</v>
      </c>
      <c r="D22" s="78"/>
      <c r="E22" s="79"/>
      <c r="F22" s="79"/>
      <c r="G22" s="84"/>
      <c r="H22" s="130"/>
    </row>
    <row r="23" spans="1:10" s="44" customFormat="1" ht="33">
      <c r="A23" s="97" t="s">
        <v>18</v>
      </c>
      <c r="B23" s="105" t="s">
        <v>122</v>
      </c>
      <c r="C23" s="92" t="s">
        <v>146</v>
      </c>
      <c r="D23" s="86" t="s">
        <v>83</v>
      </c>
      <c r="E23" s="89">
        <v>18</v>
      </c>
      <c r="F23" s="89">
        <v>19.440000000000001</v>
      </c>
      <c r="G23" s="88">
        <f>ROUND(F23*1.2685,2)</f>
        <v>24.66</v>
      </c>
      <c r="H23" s="131">
        <f>ROUND(G23*E23,2)</f>
        <v>443.88</v>
      </c>
    </row>
    <row r="24" spans="1:10" s="44" customFormat="1" ht="33">
      <c r="A24" s="97" t="s">
        <v>119</v>
      </c>
      <c r="B24" s="105" t="s">
        <v>118</v>
      </c>
      <c r="C24" s="92" t="s">
        <v>117</v>
      </c>
      <c r="D24" s="86" t="s">
        <v>116</v>
      </c>
      <c r="E24" s="89">
        <v>4.7489999999999997</v>
      </c>
      <c r="F24" s="89">
        <f>628.37*1.1138</f>
        <v>699.8785059999999</v>
      </c>
      <c r="G24" s="88">
        <f>ROUND(F24*1.2685,2)</f>
        <v>887.8</v>
      </c>
      <c r="H24" s="131">
        <f>ROUND(G24*E24,2)</f>
        <v>4216.16</v>
      </c>
    </row>
    <row r="25" spans="1:10" s="41" customFormat="1" ht="16.5">
      <c r="A25" s="96" t="s">
        <v>120</v>
      </c>
      <c r="B25" s="101" t="s">
        <v>260</v>
      </c>
      <c r="C25" s="80" t="s">
        <v>199</v>
      </c>
      <c r="D25" s="86" t="s">
        <v>82</v>
      </c>
      <c r="E25" s="87">
        <v>237.45</v>
      </c>
      <c r="F25" s="87">
        <v>61.81</v>
      </c>
      <c r="G25" s="83">
        <f>ROUND(F25*1.2685,2)</f>
        <v>78.41</v>
      </c>
      <c r="H25" s="131">
        <f>ROUND(G25*E25,2)</f>
        <v>18618.45</v>
      </c>
    </row>
    <row r="26" spans="1:10" s="48" customFormat="1" ht="33">
      <c r="A26" s="96" t="s">
        <v>154</v>
      </c>
      <c r="B26" s="101" t="s">
        <v>161</v>
      </c>
      <c r="C26" s="80" t="s">
        <v>200</v>
      </c>
      <c r="D26" s="86" t="s">
        <v>82</v>
      </c>
      <c r="E26" s="87">
        <v>10</v>
      </c>
      <c r="F26" s="87">
        <f>69.9*1.1138</f>
        <v>77.854619999999997</v>
      </c>
      <c r="G26" s="83">
        <f>ROUND(F26*1.2685,2)</f>
        <v>98.76</v>
      </c>
      <c r="H26" s="131">
        <f>ROUND(G26*E26,2)</f>
        <v>987.6</v>
      </c>
    </row>
    <row r="27" spans="1:10" s="46" customFormat="1" ht="33">
      <c r="A27" s="117" t="s">
        <v>229</v>
      </c>
      <c r="B27" s="104" t="s">
        <v>225</v>
      </c>
      <c r="C27" s="80" t="s">
        <v>224</v>
      </c>
      <c r="D27" s="90" t="s">
        <v>82</v>
      </c>
      <c r="E27" s="91">
        <f>(0.29*0.17+1.45*0.31)</f>
        <v>0.49880000000000002</v>
      </c>
      <c r="F27" s="83">
        <f>53.77*1.1138</f>
        <v>59.889026000000001</v>
      </c>
      <c r="G27" s="83">
        <f t="shared" ref="G27" si="5">ROUND(F27*1.2685,2)</f>
        <v>75.97</v>
      </c>
      <c r="H27" s="133">
        <f t="shared" ref="H27" si="6">ROUND(G27*E27,2)</f>
        <v>37.89</v>
      </c>
      <c r="J27" s="47"/>
    </row>
    <row r="28" spans="1:10" s="41" customFormat="1" ht="16.5">
      <c r="A28" s="148" t="s">
        <v>86</v>
      </c>
      <c r="B28" s="148"/>
      <c r="C28" s="148"/>
      <c r="D28" s="148"/>
      <c r="E28" s="148"/>
      <c r="F28" s="148"/>
      <c r="G28" s="148"/>
      <c r="H28" s="132">
        <f>SUM(H23:H27,)</f>
        <v>24303.98</v>
      </c>
    </row>
    <row r="29" spans="1:10" s="48" customFormat="1" ht="16.5">
      <c r="A29" s="115" t="s">
        <v>19</v>
      </c>
      <c r="B29" s="76"/>
      <c r="C29" s="77" t="s">
        <v>158</v>
      </c>
      <c r="D29" s="78"/>
      <c r="E29" s="79"/>
      <c r="F29" s="79"/>
      <c r="G29" s="79"/>
      <c r="H29" s="130"/>
    </row>
    <row r="30" spans="1:10" s="48" customFormat="1" ht="33">
      <c r="A30" s="116" t="s">
        <v>20</v>
      </c>
      <c r="B30" s="104" t="s">
        <v>159</v>
      </c>
      <c r="C30" s="80" t="s">
        <v>160</v>
      </c>
      <c r="D30" s="81" t="s">
        <v>82</v>
      </c>
      <c r="E30" s="82">
        <v>1.56</v>
      </c>
      <c r="F30" s="88">
        <v>63.63</v>
      </c>
      <c r="G30" s="88">
        <f>ROUND(F30*1.2685,2)</f>
        <v>80.709999999999994</v>
      </c>
      <c r="H30" s="131">
        <f>ROUND(G30*E30,2)</f>
        <v>125.91</v>
      </c>
      <c r="J30" s="5"/>
    </row>
    <row r="31" spans="1:10" s="67" customFormat="1" ht="27">
      <c r="A31" s="116" t="s">
        <v>274</v>
      </c>
      <c r="B31" s="104" t="s">
        <v>272</v>
      </c>
      <c r="C31" s="80" t="s">
        <v>273</v>
      </c>
      <c r="D31" s="81" t="s">
        <v>116</v>
      </c>
      <c r="E31" s="82">
        <v>0.06</v>
      </c>
      <c r="F31" s="88">
        <f>347.21*1.1138</f>
        <v>386.72249799999992</v>
      </c>
      <c r="G31" s="88">
        <f>ROUND(F31*1.2685,2)</f>
        <v>490.56</v>
      </c>
      <c r="H31" s="131">
        <f>ROUND(G31*E31,2)</f>
        <v>29.43</v>
      </c>
      <c r="J31" s="5"/>
    </row>
    <row r="32" spans="1:10" s="48" customFormat="1" ht="15" customHeight="1">
      <c r="A32" s="148" t="s">
        <v>135</v>
      </c>
      <c r="B32" s="148"/>
      <c r="C32" s="148"/>
      <c r="D32" s="148"/>
      <c r="E32" s="148"/>
      <c r="F32" s="148"/>
      <c r="G32" s="148"/>
      <c r="H32" s="132">
        <f>SUM(H30:H31,)</f>
        <v>155.34</v>
      </c>
    </row>
    <row r="33" spans="1:8" s="41" customFormat="1" ht="16.5">
      <c r="A33" s="115" t="s">
        <v>21</v>
      </c>
      <c r="B33" s="76"/>
      <c r="C33" s="77" t="s">
        <v>24</v>
      </c>
      <c r="D33" s="78"/>
      <c r="E33" s="79"/>
      <c r="F33" s="79"/>
      <c r="G33" s="84"/>
      <c r="H33" s="130"/>
    </row>
    <row r="34" spans="1:8" s="41" customFormat="1" ht="33">
      <c r="A34" s="96" t="s">
        <v>22</v>
      </c>
      <c r="B34" s="101" t="s">
        <v>257</v>
      </c>
      <c r="C34" s="85" t="s">
        <v>202</v>
      </c>
      <c r="D34" s="81" t="s">
        <v>83</v>
      </c>
      <c r="E34" s="88">
        <v>82.33</v>
      </c>
      <c r="F34" s="87">
        <v>44.22</v>
      </c>
      <c r="G34" s="83">
        <f t="shared" ref="G34:G41" si="7">ROUND(F34*1.2685,2)</f>
        <v>56.09</v>
      </c>
      <c r="H34" s="131">
        <f t="shared" ref="H34:H41" si="8">ROUND(G34*E34,2)</f>
        <v>4617.8900000000003</v>
      </c>
    </row>
    <row r="35" spans="1:8" s="44" customFormat="1" ht="33">
      <c r="A35" s="97" t="s">
        <v>95</v>
      </c>
      <c r="B35" s="105" t="s">
        <v>124</v>
      </c>
      <c r="C35" s="85" t="s">
        <v>203</v>
      </c>
      <c r="D35" s="81" t="s">
        <v>81</v>
      </c>
      <c r="E35" s="88">
        <v>4</v>
      </c>
      <c r="F35" s="89">
        <v>83.73</v>
      </c>
      <c r="G35" s="88">
        <f t="shared" si="7"/>
        <v>106.21</v>
      </c>
      <c r="H35" s="131">
        <f t="shared" si="8"/>
        <v>424.84</v>
      </c>
    </row>
    <row r="36" spans="1:8" s="44" customFormat="1" ht="33">
      <c r="A36" s="97" t="s">
        <v>96</v>
      </c>
      <c r="B36" s="105" t="s">
        <v>125</v>
      </c>
      <c r="C36" s="85" t="s">
        <v>204</v>
      </c>
      <c r="D36" s="81" t="s">
        <v>81</v>
      </c>
      <c r="E36" s="88">
        <v>2</v>
      </c>
      <c r="F36" s="89">
        <v>68.39</v>
      </c>
      <c r="G36" s="88">
        <f t="shared" si="7"/>
        <v>86.75</v>
      </c>
      <c r="H36" s="131">
        <f>ROUND(G36*E36,2)</f>
        <v>173.5</v>
      </c>
    </row>
    <row r="37" spans="1:8" s="44" customFormat="1" ht="33">
      <c r="A37" s="97" t="s">
        <v>121</v>
      </c>
      <c r="B37" s="105" t="s">
        <v>140</v>
      </c>
      <c r="C37" s="85" t="s">
        <v>205</v>
      </c>
      <c r="D37" s="81" t="s">
        <v>81</v>
      </c>
      <c r="E37" s="88">
        <v>4</v>
      </c>
      <c r="F37" s="89">
        <f>44.03*1.1138</f>
        <v>49.040613999999998</v>
      </c>
      <c r="G37" s="88">
        <f t="shared" ref="G37" si="9">ROUND(F37*1.2685,2)</f>
        <v>62.21</v>
      </c>
      <c r="H37" s="131">
        <f>ROUND(G37*E37,2)</f>
        <v>248.84</v>
      </c>
    </row>
    <row r="38" spans="1:8" s="41" customFormat="1" ht="33">
      <c r="A38" s="96" t="s">
        <v>177</v>
      </c>
      <c r="B38" s="103" t="s">
        <v>94</v>
      </c>
      <c r="C38" s="85" t="s">
        <v>198</v>
      </c>
      <c r="D38" s="81" t="s">
        <v>81</v>
      </c>
      <c r="E38" s="83">
        <v>2</v>
      </c>
      <c r="F38" s="87">
        <f>123.41*1.1138</f>
        <v>137.45405799999997</v>
      </c>
      <c r="G38" s="83">
        <f t="shared" si="7"/>
        <v>174.36</v>
      </c>
      <c r="H38" s="131">
        <f>ROUND(G38*E38,2)</f>
        <v>348.72</v>
      </c>
    </row>
    <row r="39" spans="1:8" s="43" customFormat="1" ht="33">
      <c r="A39" s="96" t="s">
        <v>178</v>
      </c>
      <c r="B39" s="103" t="s">
        <v>134</v>
      </c>
      <c r="C39" s="85" t="s">
        <v>197</v>
      </c>
      <c r="D39" s="81" t="s">
        <v>81</v>
      </c>
      <c r="E39" s="83">
        <v>1</v>
      </c>
      <c r="F39" s="87">
        <f>123.96+44.36</f>
        <v>168.32</v>
      </c>
      <c r="G39" s="83">
        <f t="shared" si="7"/>
        <v>213.51</v>
      </c>
      <c r="H39" s="131">
        <f>ROUND(G39*E39,2)</f>
        <v>213.51</v>
      </c>
    </row>
    <row r="40" spans="1:8" s="44" customFormat="1" ht="16.5">
      <c r="A40" s="97" t="s">
        <v>179</v>
      </c>
      <c r="B40" s="105" t="s">
        <v>113</v>
      </c>
      <c r="C40" s="85" t="s">
        <v>201</v>
      </c>
      <c r="D40" s="81" t="s">
        <v>81</v>
      </c>
      <c r="E40" s="88">
        <v>7</v>
      </c>
      <c r="F40" s="89">
        <v>10.38</v>
      </c>
      <c r="G40" s="88">
        <f t="shared" si="7"/>
        <v>13.17</v>
      </c>
      <c r="H40" s="131">
        <f t="shared" ref="H40" si="10">ROUND(G40*E40,2)</f>
        <v>92.19</v>
      </c>
    </row>
    <row r="41" spans="1:8" s="14" customFormat="1" ht="16.5">
      <c r="A41" s="96" t="s">
        <v>180</v>
      </c>
      <c r="B41" s="103" t="s">
        <v>100</v>
      </c>
      <c r="C41" s="85" t="s">
        <v>148</v>
      </c>
      <c r="D41" s="81" t="s">
        <v>81</v>
      </c>
      <c r="E41" s="88">
        <v>1</v>
      </c>
      <c r="F41" s="87">
        <v>368.64</v>
      </c>
      <c r="G41" s="83">
        <f t="shared" si="7"/>
        <v>467.62</v>
      </c>
      <c r="H41" s="131">
        <f t="shared" si="8"/>
        <v>467.62</v>
      </c>
    </row>
    <row r="42" spans="1:8" s="14" customFormat="1" ht="16.5">
      <c r="A42" s="96" t="s">
        <v>181</v>
      </c>
      <c r="B42" s="103" t="s">
        <v>149</v>
      </c>
      <c r="C42" s="85" t="s">
        <v>147</v>
      </c>
      <c r="D42" s="81" t="s">
        <v>81</v>
      </c>
      <c r="E42" s="88">
        <v>2</v>
      </c>
      <c r="F42" s="87">
        <v>166.04</v>
      </c>
      <c r="G42" s="83">
        <f t="shared" ref="G42:G45" si="11">ROUND(F42*1.2685,2)</f>
        <v>210.62</v>
      </c>
      <c r="H42" s="131">
        <f t="shared" ref="H42:H44" si="12">ROUND(G42*E42,2)</f>
        <v>421.24</v>
      </c>
    </row>
    <row r="43" spans="1:8" s="67" customFormat="1" ht="33">
      <c r="A43" s="96" t="s">
        <v>209</v>
      </c>
      <c r="B43" s="101" t="s">
        <v>255</v>
      </c>
      <c r="C43" s="85" t="s">
        <v>254</v>
      </c>
      <c r="D43" s="81" t="s">
        <v>83</v>
      </c>
      <c r="E43" s="88">
        <v>3</v>
      </c>
      <c r="F43" s="87">
        <v>12.85</v>
      </c>
      <c r="G43" s="83">
        <f t="shared" si="11"/>
        <v>16.3</v>
      </c>
      <c r="H43" s="131">
        <f t="shared" si="12"/>
        <v>48.9</v>
      </c>
    </row>
    <row r="44" spans="1:8" s="44" customFormat="1" ht="33">
      <c r="A44" s="97" t="s">
        <v>210</v>
      </c>
      <c r="B44" s="105" t="s">
        <v>250</v>
      </c>
      <c r="C44" s="85" t="s">
        <v>249</v>
      </c>
      <c r="D44" s="81" t="s">
        <v>81</v>
      </c>
      <c r="E44" s="88">
        <v>1</v>
      </c>
      <c r="F44" s="89">
        <v>9.14</v>
      </c>
      <c r="G44" s="88">
        <f t="shared" si="11"/>
        <v>11.59</v>
      </c>
      <c r="H44" s="131">
        <f t="shared" si="12"/>
        <v>11.59</v>
      </c>
    </row>
    <row r="45" spans="1:8" s="44" customFormat="1" ht="33">
      <c r="A45" s="97" t="s">
        <v>211</v>
      </c>
      <c r="B45" s="105" t="s">
        <v>252</v>
      </c>
      <c r="C45" s="85" t="s">
        <v>251</v>
      </c>
      <c r="D45" s="81" t="s">
        <v>81</v>
      </c>
      <c r="E45" s="88">
        <v>1</v>
      </c>
      <c r="F45" s="89">
        <v>13.72</v>
      </c>
      <c r="G45" s="88">
        <f t="shared" si="11"/>
        <v>17.399999999999999</v>
      </c>
      <c r="H45" s="131">
        <f>ROUND(G45*E45,2)</f>
        <v>17.399999999999999</v>
      </c>
    </row>
    <row r="46" spans="1:8" s="67" customFormat="1" ht="33">
      <c r="A46" s="96" t="s">
        <v>212</v>
      </c>
      <c r="B46" s="101" t="s">
        <v>92</v>
      </c>
      <c r="C46" s="85" t="s">
        <v>248</v>
      </c>
      <c r="D46" s="81" t="s">
        <v>83</v>
      </c>
      <c r="E46" s="88">
        <v>3</v>
      </c>
      <c r="F46" s="87">
        <v>21.73</v>
      </c>
      <c r="G46" s="83">
        <f t="shared" ref="G46:G47" si="13">ROUND(F46*1.2685,2)</f>
        <v>27.56</v>
      </c>
      <c r="H46" s="131">
        <f t="shared" ref="H46:H47" si="14">ROUND(G46*E46,2)</f>
        <v>82.68</v>
      </c>
    </row>
    <row r="47" spans="1:8" s="44" customFormat="1" ht="33">
      <c r="A47" s="97" t="s">
        <v>221</v>
      </c>
      <c r="B47" s="105" t="s">
        <v>250</v>
      </c>
      <c r="C47" s="85" t="s">
        <v>253</v>
      </c>
      <c r="D47" s="81" t="s">
        <v>81</v>
      </c>
      <c r="E47" s="88">
        <v>2</v>
      </c>
      <c r="F47" s="89">
        <v>7.72</v>
      </c>
      <c r="G47" s="88">
        <f t="shared" si="13"/>
        <v>9.7899999999999991</v>
      </c>
      <c r="H47" s="131">
        <f t="shared" si="14"/>
        <v>19.579999999999998</v>
      </c>
    </row>
    <row r="48" spans="1:8" s="66" customFormat="1" ht="16.5">
      <c r="A48" s="96" t="s">
        <v>256</v>
      </c>
      <c r="B48" s="103" t="s">
        <v>220</v>
      </c>
      <c r="C48" s="85" t="s">
        <v>219</v>
      </c>
      <c r="D48" s="81" t="s">
        <v>81</v>
      </c>
      <c r="E48" s="83">
        <v>1</v>
      </c>
      <c r="F48" s="87">
        <v>156.84</v>
      </c>
      <c r="G48" s="83">
        <f>ROUND(F48*1.2685,2)</f>
        <v>198.95</v>
      </c>
      <c r="H48" s="131">
        <f>ROUND(G48*E48,2)</f>
        <v>198.95</v>
      </c>
    </row>
    <row r="49" spans="1:12" s="14" customFormat="1" ht="16.5">
      <c r="A49" s="148" t="s">
        <v>87</v>
      </c>
      <c r="B49" s="148"/>
      <c r="C49" s="148"/>
      <c r="D49" s="148"/>
      <c r="E49" s="148"/>
      <c r="F49" s="148"/>
      <c r="G49" s="148"/>
      <c r="H49" s="132">
        <f>SUM(H34:H48,)</f>
        <v>7387.45</v>
      </c>
    </row>
    <row r="50" spans="1:12" s="67" customFormat="1" ht="16.5">
      <c r="A50" s="115" t="s">
        <v>23</v>
      </c>
      <c r="B50" s="76"/>
      <c r="C50" s="77" t="s">
        <v>228</v>
      </c>
      <c r="D50" s="78"/>
      <c r="E50" s="79"/>
      <c r="F50" s="79"/>
      <c r="G50" s="84"/>
      <c r="H50" s="130"/>
    </row>
    <row r="51" spans="1:12" s="14" customFormat="1" ht="33">
      <c r="A51" s="96" t="s">
        <v>25</v>
      </c>
      <c r="B51" s="106" t="s">
        <v>227</v>
      </c>
      <c r="C51" s="93" t="s">
        <v>226</v>
      </c>
      <c r="D51" s="81" t="s">
        <v>81</v>
      </c>
      <c r="E51" s="83">
        <v>1</v>
      </c>
      <c r="F51" s="87">
        <f>144.83*1.1138</f>
        <v>161.311654</v>
      </c>
      <c r="G51" s="83">
        <f>ROUND(F51*1.2685,2)</f>
        <v>204.62</v>
      </c>
      <c r="H51" s="131">
        <f>ROUND(G51*E51,2)</f>
        <v>204.62</v>
      </c>
    </row>
    <row r="52" spans="1:12" s="14" customFormat="1" ht="16.5">
      <c r="A52" s="148" t="s">
        <v>155</v>
      </c>
      <c r="B52" s="148"/>
      <c r="C52" s="148"/>
      <c r="D52" s="148"/>
      <c r="E52" s="148"/>
      <c r="F52" s="148"/>
      <c r="G52" s="148"/>
      <c r="H52" s="132">
        <f>SUM(H51,)</f>
        <v>204.62</v>
      </c>
    </row>
    <row r="53" spans="1:12" s="41" customFormat="1" ht="16.5">
      <c r="A53" s="115" t="s">
        <v>27</v>
      </c>
      <c r="B53" s="76"/>
      <c r="C53" s="77" t="s">
        <v>10</v>
      </c>
      <c r="D53" s="78"/>
      <c r="E53" s="79"/>
      <c r="F53" s="79"/>
      <c r="G53" s="84"/>
      <c r="H53" s="130"/>
    </row>
    <row r="54" spans="1:12" s="42" customFormat="1" ht="33">
      <c r="A54" s="116" t="s">
        <v>28</v>
      </c>
      <c r="B54" s="104" t="s">
        <v>97</v>
      </c>
      <c r="C54" s="80" t="s">
        <v>206</v>
      </c>
      <c r="D54" s="81" t="s">
        <v>81</v>
      </c>
      <c r="E54" s="82">
        <v>1</v>
      </c>
      <c r="F54" s="83">
        <v>1751.94</v>
      </c>
      <c r="G54" s="83">
        <f>ROUND(F54*1.2685,2)</f>
        <v>2222.34</v>
      </c>
      <c r="H54" s="131">
        <f>ROUND(G54*E54,2)</f>
        <v>2222.34</v>
      </c>
      <c r="J54" s="5"/>
    </row>
    <row r="55" spans="1:12" s="41" customFormat="1" ht="49.5">
      <c r="A55" s="116" t="s">
        <v>231</v>
      </c>
      <c r="B55" s="104" t="s">
        <v>107</v>
      </c>
      <c r="C55" s="80" t="s">
        <v>208</v>
      </c>
      <c r="D55" s="81" t="s">
        <v>82</v>
      </c>
      <c r="E55" s="82">
        <v>4.2</v>
      </c>
      <c r="F55" s="83">
        <f>344.2*1.1138</f>
        <v>383.36995999999994</v>
      </c>
      <c r="G55" s="83">
        <f>ROUND(F55*1.2685,2)</f>
        <v>486.3</v>
      </c>
      <c r="H55" s="131">
        <f>ROUND(G55*E55,2)</f>
        <v>2042.46</v>
      </c>
      <c r="J55" s="5"/>
    </row>
    <row r="56" spans="1:12" s="41" customFormat="1" ht="49.5">
      <c r="A56" s="116" t="s">
        <v>232</v>
      </c>
      <c r="B56" s="104" t="s">
        <v>98</v>
      </c>
      <c r="C56" s="80" t="s">
        <v>207</v>
      </c>
      <c r="D56" s="86" t="s">
        <v>82</v>
      </c>
      <c r="E56" s="82">
        <v>22.48</v>
      </c>
      <c r="F56" s="94">
        <v>209.52</v>
      </c>
      <c r="G56" s="83">
        <f>ROUND(F56*1.2685,2)</f>
        <v>265.77999999999997</v>
      </c>
      <c r="H56" s="131">
        <f>ROUND(G56*E56,2)</f>
        <v>5974.73</v>
      </c>
      <c r="K56" s="3"/>
      <c r="L56" s="3"/>
    </row>
    <row r="57" spans="1:12" s="41" customFormat="1" ht="33">
      <c r="A57" s="116" t="s">
        <v>233</v>
      </c>
      <c r="B57" s="104" t="s">
        <v>99</v>
      </c>
      <c r="C57" s="80" t="s">
        <v>101</v>
      </c>
      <c r="D57" s="81" t="s">
        <v>82</v>
      </c>
      <c r="E57" s="82">
        <v>7.08</v>
      </c>
      <c r="F57" s="94">
        <f>94.06*1.1138</f>
        <v>104.764028</v>
      </c>
      <c r="G57" s="83">
        <f>ROUND(F57*1.2685,2)</f>
        <v>132.88999999999999</v>
      </c>
      <c r="H57" s="131">
        <f>ROUND(G57*E57,2)</f>
        <v>940.86</v>
      </c>
      <c r="K57" s="3"/>
      <c r="L57" s="3"/>
    </row>
    <row r="58" spans="1:12" s="41" customFormat="1" ht="15" customHeight="1">
      <c r="A58" s="148" t="s">
        <v>234</v>
      </c>
      <c r="B58" s="148"/>
      <c r="C58" s="148"/>
      <c r="D58" s="148"/>
      <c r="E58" s="148"/>
      <c r="F58" s="148"/>
      <c r="G58" s="148"/>
      <c r="H58" s="132">
        <f>SUM(H54:H57,)</f>
        <v>11180.39</v>
      </c>
    </row>
    <row r="59" spans="1:12" s="41" customFormat="1" ht="16.5">
      <c r="A59" s="115" t="s">
        <v>235</v>
      </c>
      <c r="B59" s="76"/>
      <c r="C59" s="77" t="s">
        <v>89</v>
      </c>
      <c r="D59" s="78"/>
      <c r="E59" s="79"/>
      <c r="F59" s="79"/>
      <c r="G59" s="79"/>
      <c r="H59" s="130"/>
    </row>
    <row r="60" spans="1:12" s="41" customFormat="1" ht="33">
      <c r="A60" s="116" t="s">
        <v>33</v>
      </c>
      <c r="B60" s="104" t="s">
        <v>261</v>
      </c>
      <c r="C60" s="80" t="s">
        <v>102</v>
      </c>
      <c r="D60" s="81" t="s">
        <v>82</v>
      </c>
      <c r="E60" s="82">
        <v>192</v>
      </c>
      <c r="F60" s="88">
        <f>71.33*1.1138</f>
        <v>79.44735399999999</v>
      </c>
      <c r="G60" s="88">
        <f>ROUND(F60*1.2685,2)</f>
        <v>100.78</v>
      </c>
      <c r="H60" s="131">
        <f>ROUND(G60*E60,2)</f>
        <v>19349.759999999998</v>
      </c>
      <c r="J60" s="5"/>
    </row>
    <row r="61" spans="1:12" s="41" customFormat="1" ht="15" customHeight="1">
      <c r="A61" s="148" t="s">
        <v>244</v>
      </c>
      <c r="B61" s="148"/>
      <c r="C61" s="148"/>
      <c r="D61" s="148"/>
      <c r="E61" s="148"/>
      <c r="F61" s="148"/>
      <c r="G61" s="148"/>
      <c r="H61" s="132">
        <f>SUM(H60:H60,)</f>
        <v>19349.759999999998</v>
      </c>
    </row>
    <row r="62" spans="1:12" ht="16.5">
      <c r="A62" s="115" t="s">
        <v>236</v>
      </c>
      <c r="B62" s="76"/>
      <c r="C62" s="77" t="s">
        <v>31</v>
      </c>
      <c r="D62" s="78"/>
      <c r="E62" s="79"/>
      <c r="F62" s="79"/>
      <c r="G62" s="84"/>
      <c r="H62" s="130"/>
    </row>
    <row r="63" spans="1:12" ht="27">
      <c r="A63" s="96" t="s">
        <v>136</v>
      </c>
      <c r="B63" s="101" t="s">
        <v>192</v>
      </c>
      <c r="C63" s="85" t="s">
        <v>193</v>
      </c>
      <c r="D63" s="81" t="s">
        <v>81</v>
      </c>
      <c r="E63" s="83">
        <v>12</v>
      </c>
      <c r="F63" s="87">
        <f>9.08*1.1138</f>
        <v>10.113303999999999</v>
      </c>
      <c r="G63" s="83">
        <f t="shared" ref="G63:G66" si="15">ROUND(F63*1.2685,2)</f>
        <v>12.83</v>
      </c>
      <c r="H63" s="131">
        <f t="shared" ref="H63:H66" si="16">ROUND(G63*E63,2)</f>
        <v>153.96</v>
      </c>
    </row>
    <row r="64" spans="1:12" s="45" customFormat="1" ht="35.25" customHeight="1">
      <c r="A64" s="96" t="s">
        <v>182</v>
      </c>
      <c r="B64" s="101" t="s">
        <v>105</v>
      </c>
      <c r="C64" s="85" t="s">
        <v>103</v>
      </c>
      <c r="D64" s="81" t="s">
        <v>104</v>
      </c>
      <c r="E64" s="83">
        <v>1</v>
      </c>
      <c r="F64" s="87">
        <f>242.17*1.1138</f>
        <v>269.72894599999995</v>
      </c>
      <c r="G64" s="83">
        <f t="shared" si="15"/>
        <v>342.15</v>
      </c>
      <c r="H64" s="131">
        <f t="shared" si="16"/>
        <v>342.15</v>
      </c>
    </row>
    <row r="65" spans="1:8" ht="33">
      <c r="A65" s="96" t="s">
        <v>183</v>
      </c>
      <c r="B65" s="101" t="s">
        <v>134</v>
      </c>
      <c r="C65" s="85" t="s">
        <v>126</v>
      </c>
      <c r="D65" s="81" t="s">
        <v>82</v>
      </c>
      <c r="E65" s="83">
        <v>237.45</v>
      </c>
      <c r="F65" s="87">
        <v>1.45</v>
      </c>
      <c r="G65" s="83">
        <f t="shared" si="15"/>
        <v>1.84</v>
      </c>
      <c r="H65" s="131">
        <f t="shared" si="16"/>
        <v>436.91</v>
      </c>
    </row>
    <row r="66" spans="1:8" s="67" customFormat="1" ht="49.5">
      <c r="A66" s="96" t="s">
        <v>184</v>
      </c>
      <c r="B66" s="101" t="s">
        <v>246</v>
      </c>
      <c r="C66" s="85" t="s">
        <v>247</v>
      </c>
      <c r="D66" s="81" t="s">
        <v>81</v>
      </c>
      <c r="E66" s="83">
        <v>1</v>
      </c>
      <c r="F66" s="87">
        <f>555.07*1.1138</f>
        <v>618.23696600000005</v>
      </c>
      <c r="G66" s="83">
        <f t="shared" si="15"/>
        <v>784.23</v>
      </c>
      <c r="H66" s="131">
        <f t="shared" si="16"/>
        <v>784.23</v>
      </c>
    </row>
    <row r="67" spans="1:8" s="14" customFormat="1" ht="16.5">
      <c r="A67" s="148" t="s">
        <v>137</v>
      </c>
      <c r="B67" s="148"/>
      <c r="C67" s="148"/>
      <c r="D67" s="148"/>
      <c r="E67" s="148"/>
      <c r="F67" s="148"/>
      <c r="G67" s="148"/>
      <c r="H67" s="132">
        <f>SUM(H63:H66,)</f>
        <v>1717.25</v>
      </c>
    </row>
    <row r="68" spans="1:8" s="48" customFormat="1" ht="16.5">
      <c r="A68" s="115" t="s">
        <v>156</v>
      </c>
      <c r="B68" s="76"/>
      <c r="C68" s="77" t="s">
        <v>153</v>
      </c>
      <c r="D68" s="78"/>
      <c r="E68" s="79"/>
      <c r="F68" s="79"/>
      <c r="G68" s="84"/>
      <c r="H68" s="130"/>
    </row>
    <row r="69" spans="1:8" s="44" customFormat="1" ht="33">
      <c r="A69" s="97" t="s">
        <v>157</v>
      </c>
      <c r="B69" s="102" t="s">
        <v>115</v>
      </c>
      <c r="C69" s="85" t="s">
        <v>114</v>
      </c>
      <c r="D69" s="81" t="s">
        <v>116</v>
      </c>
      <c r="E69" s="88">
        <v>68.400000000000006</v>
      </c>
      <c r="F69" s="89">
        <v>3.25</v>
      </c>
      <c r="G69" s="88">
        <f t="shared" ref="G69:G72" si="17">ROUND(F69*1.2685,2)</f>
        <v>4.12</v>
      </c>
      <c r="H69" s="131">
        <f t="shared" ref="H69:H72" si="18">ROUND(G69*E69,2)</f>
        <v>281.81</v>
      </c>
    </row>
    <row r="70" spans="1:8" s="14" customFormat="1" ht="33">
      <c r="A70" s="96" t="s">
        <v>237</v>
      </c>
      <c r="B70" s="103" t="s">
        <v>142</v>
      </c>
      <c r="C70" s="95" t="s">
        <v>141</v>
      </c>
      <c r="D70" s="90" t="s">
        <v>116</v>
      </c>
      <c r="E70" s="83">
        <v>67.86</v>
      </c>
      <c r="F70" s="87">
        <v>7.5</v>
      </c>
      <c r="G70" s="83">
        <f t="shared" si="17"/>
        <v>9.51</v>
      </c>
      <c r="H70" s="133">
        <f t="shared" si="18"/>
        <v>645.35</v>
      </c>
    </row>
    <row r="71" spans="1:8" s="14" customFormat="1" ht="27">
      <c r="A71" s="96" t="s">
        <v>238</v>
      </c>
      <c r="B71" s="103" t="s">
        <v>150</v>
      </c>
      <c r="C71" s="95" t="s">
        <v>262</v>
      </c>
      <c r="D71" s="90" t="s">
        <v>82</v>
      </c>
      <c r="E71" s="83">
        <v>3</v>
      </c>
      <c r="F71" s="87">
        <f>3.74*1.1138</f>
        <v>4.1656119999999994</v>
      </c>
      <c r="G71" s="83">
        <f t="shared" si="17"/>
        <v>5.28</v>
      </c>
      <c r="H71" s="133">
        <f t="shared" si="18"/>
        <v>15.84</v>
      </c>
    </row>
    <row r="72" spans="1:8" s="14" customFormat="1" ht="27">
      <c r="A72" s="96" t="s">
        <v>239</v>
      </c>
      <c r="B72" s="103" t="s">
        <v>152</v>
      </c>
      <c r="C72" s="95" t="s">
        <v>151</v>
      </c>
      <c r="D72" s="90" t="s">
        <v>82</v>
      </c>
      <c r="E72" s="83">
        <v>3</v>
      </c>
      <c r="F72" s="87">
        <f>21.27*1.1138</f>
        <v>23.690525999999998</v>
      </c>
      <c r="G72" s="83">
        <f t="shared" si="17"/>
        <v>30.05</v>
      </c>
      <c r="H72" s="133">
        <f t="shared" si="18"/>
        <v>90.15</v>
      </c>
    </row>
    <row r="73" spans="1:8" s="14" customFormat="1" ht="16.5">
      <c r="A73" s="148" t="s">
        <v>185</v>
      </c>
      <c r="B73" s="148"/>
      <c r="C73" s="148"/>
      <c r="D73" s="148"/>
      <c r="E73" s="148"/>
      <c r="F73" s="148"/>
      <c r="G73" s="148"/>
      <c r="H73" s="132">
        <f>SUM(H69:H72)</f>
        <v>1033.1500000000001</v>
      </c>
    </row>
    <row r="74" spans="1:8" s="48" customFormat="1" ht="16.5">
      <c r="A74" s="115" t="s">
        <v>186</v>
      </c>
      <c r="B74" s="76"/>
      <c r="C74" s="77" t="s">
        <v>168</v>
      </c>
      <c r="D74" s="78"/>
      <c r="E74" s="79"/>
      <c r="F74" s="79"/>
      <c r="G74" s="84"/>
      <c r="H74" s="130"/>
    </row>
    <row r="75" spans="1:8" s="14" customFormat="1" ht="16.5">
      <c r="A75" s="96" t="s">
        <v>187</v>
      </c>
      <c r="B75" s="107" t="s">
        <v>259</v>
      </c>
      <c r="C75" s="93" t="s">
        <v>176</v>
      </c>
      <c r="D75" s="86" t="s">
        <v>82</v>
      </c>
      <c r="E75" s="83">
        <v>54.27</v>
      </c>
      <c r="F75" s="87">
        <f>5.02*1.0589</f>
        <v>5.3156779999999992</v>
      </c>
      <c r="G75" s="83">
        <f>ROUND(F75*1.2685,2)</f>
        <v>6.74</v>
      </c>
      <c r="H75" s="131">
        <f>ROUND(G75*E75,2)</f>
        <v>365.78</v>
      </c>
    </row>
    <row r="76" spans="1:8" s="65" customFormat="1" ht="16.5">
      <c r="A76" s="97" t="s">
        <v>288</v>
      </c>
      <c r="B76" s="108" t="s">
        <v>175</v>
      </c>
      <c r="C76" s="93" t="s">
        <v>286</v>
      </c>
      <c r="D76" s="86" t="s">
        <v>82</v>
      </c>
      <c r="E76" s="88">
        <v>54.27</v>
      </c>
      <c r="F76" s="89">
        <v>2.2200000000000002</v>
      </c>
      <c r="G76" s="88">
        <f>ROUND(F76*1.2685,2)</f>
        <v>2.82</v>
      </c>
      <c r="H76" s="131">
        <f>ROUND(G76*E76,2)</f>
        <v>153.04</v>
      </c>
    </row>
    <row r="77" spans="1:8" s="14" customFormat="1" ht="16.5">
      <c r="A77" s="96" t="s">
        <v>289</v>
      </c>
      <c r="B77" s="107" t="s">
        <v>174</v>
      </c>
      <c r="C77" s="93" t="s">
        <v>287</v>
      </c>
      <c r="D77" s="86" t="s">
        <v>82</v>
      </c>
      <c r="E77" s="83">
        <v>54.27</v>
      </c>
      <c r="F77" s="87">
        <v>14.82</v>
      </c>
      <c r="G77" s="83">
        <f>ROUND(F77*1.2685,2)</f>
        <v>18.8</v>
      </c>
      <c r="H77" s="131">
        <f>ROUND(G77*E77,2)</f>
        <v>1020.28</v>
      </c>
    </row>
    <row r="78" spans="1:8" s="14" customFormat="1" ht="16.5">
      <c r="A78" s="148" t="s">
        <v>188</v>
      </c>
      <c r="B78" s="148"/>
      <c r="C78" s="148"/>
      <c r="D78" s="148"/>
      <c r="E78" s="148"/>
      <c r="F78" s="148"/>
      <c r="G78" s="148"/>
      <c r="H78" s="132">
        <f>SUM(H75:H77,)</f>
        <v>1539.1</v>
      </c>
    </row>
    <row r="79" spans="1:8" s="67" customFormat="1" ht="16.5">
      <c r="A79" s="115" t="s">
        <v>189</v>
      </c>
      <c r="B79" s="76"/>
      <c r="C79" s="77" t="s">
        <v>263</v>
      </c>
      <c r="D79" s="78"/>
      <c r="E79" s="79"/>
      <c r="F79" s="79"/>
      <c r="G79" s="84"/>
      <c r="H79" s="130"/>
    </row>
    <row r="80" spans="1:8" s="14" customFormat="1" ht="27">
      <c r="A80" s="96" t="s">
        <v>190</v>
      </c>
      <c r="B80" s="101" t="s">
        <v>150</v>
      </c>
      <c r="C80" s="93" t="s">
        <v>267</v>
      </c>
      <c r="D80" s="86" t="s">
        <v>82</v>
      </c>
      <c r="E80" s="87">
        <f>9*2</f>
        <v>18</v>
      </c>
      <c r="F80" s="87">
        <f>3.74*1.1138</f>
        <v>4.1656119999999994</v>
      </c>
      <c r="G80" s="83">
        <f>ROUND(F80*1.2685,2)</f>
        <v>5.28</v>
      </c>
      <c r="H80" s="131">
        <f>ROUND(G80*E80,2)</f>
        <v>95.04</v>
      </c>
    </row>
    <row r="81" spans="1:9" s="65" customFormat="1" ht="33">
      <c r="A81" s="97" t="s">
        <v>240</v>
      </c>
      <c r="B81" s="105" t="s">
        <v>266</v>
      </c>
      <c r="C81" s="93" t="s">
        <v>271</v>
      </c>
      <c r="D81" s="86" t="s">
        <v>116</v>
      </c>
      <c r="E81" s="89">
        <f>(9*2*0.8)/2</f>
        <v>7.2</v>
      </c>
      <c r="F81" s="89">
        <f>90.09*1.1138</f>
        <v>100.342242</v>
      </c>
      <c r="G81" s="88">
        <f>ROUND(F81*1.2685,2)</f>
        <v>127.28</v>
      </c>
      <c r="H81" s="131">
        <f>ROUND(G81*E81,2)</f>
        <v>916.42</v>
      </c>
    </row>
    <row r="82" spans="1:9" s="65" customFormat="1" ht="33">
      <c r="A82" s="97" t="s">
        <v>241</v>
      </c>
      <c r="B82" s="105" t="s">
        <v>264</v>
      </c>
      <c r="C82" s="93" t="s">
        <v>265</v>
      </c>
      <c r="D82" s="86" t="s">
        <v>82</v>
      </c>
      <c r="E82" s="89">
        <f>9*2</f>
        <v>18</v>
      </c>
      <c r="F82" s="89">
        <f>37.26*1.1138</f>
        <v>41.500187999999994</v>
      </c>
      <c r="G82" s="88">
        <f>ROUND(F82*1.2685,2)</f>
        <v>52.64</v>
      </c>
      <c r="H82" s="131">
        <f>ROUND(G82*E82,2)</f>
        <v>947.52</v>
      </c>
    </row>
    <row r="83" spans="1:9" s="14" customFormat="1" ht="16.5">
      <c r="A83" s="148" t="s">
        <v>191</v>
      </c>
      <c r="B83" s="148"/>
      <c r="C83" s="148"/>
      <c r="D83" s="148"/>
      <c r="E83" s="148"/>
      <c r="F83" s="148"/>
      <c r="G83" s="148"/>
      <c r="H83" s="132">
        <f>SUM(H80:H82,)</f>
        <v>1958.98</v>
      </c>
    </row>
    <row r="84" spans="1:9" s="72" customFormat="1" ht="16.5">
      <c r="A84" s="115" t="s">
        <v>194</v>
      </c>
      <c r="B84" s="76"/>
      <c r="C84" s="77" t="s">
        <v>280</v>
      </c>
      <c r="D84" s="78"/>
      <c r="E84" s="79"/>
      <c r="F84" s="79"/>
      <c r="G84" s="84"/>
      <c r="H84" s="130"/>
    </row>
    <row r="85" spans="1:9" s="14" customFormat="1" ht="33">
      <c r="A85" s="96" t="s">
        <v>195</v>
      </c>
      <c r="B85" s="106" t="s">
        <v>281</v>
      </c>
      <c r="C85" s="93" t="s">
        <v>282</v>
      </c>
      <c r="D85" s="81" t="s">
        <v>81</v>
      </c>
      <c r="E85" s="83">
        <v>2</v>
      </c>
      <c r="F85" s="87">
        <f>8524.45*1.1138</f>
        <v>9494.5324099999998</v>
      </c>
      <c r="G85" s="83">
        <f>ROUND(F85*1.2685,2)</f>
        <v>12043.81</v>
      </c>
      <c r="H85" s="131">
        <f>ROUND(G85*E85,2)</f>
        <v>24087.62</v>
      </c>
    </row>
    <row r="86" spans="1:9" s="14" customFormat="1" ht="16.5">
      <c r="A86" s="148" t="s">
        <v>196</v>
      </c>
      <c r="B86" s="148"/>
      <c r="C86" s="148"/>
      <c r="D86" s="148"/>
      <c r="E86" s="148"/>
      <c r="F86" s="148"/>
      <c r="G86" s="148"/>
      <c r="H86" s="132">
        <f>SUM(H85:H85,)</f>
        <v>24087.62</v>
      </c>
    </row>
    <row r="87" spans="1:9" s="48" customFormat="1" ht="16.5">
      <c r="A87" s="115" t="s">
        <v>242</v>
      </c>
      <c r="B87" s="76"/>
      <c r="C87" s="77" t="s">
        <v>110</v>
      </c>
      <c r="D87" s="78"/>
      <c r="E87" s="79"/>
      <c r="F87" s="79"/>
      <c r="G87" s="84"/>
      <c r="H87" s="130"/>
    </row>
    <row r="88" spans="1:9" s="14" customFormat="1" ht="27">
      <c r="A88" s="96" t="s">
        <v>243</v>
      </c>
      <c r="B88" s="106" t="s">
        <v>133</v>
      </c>
      <c r="C88" s="93" t="s">
        <v>131</v>
      </c>
      <c r="D88" s="86" t="s">
        <v>132</v>
      </c>
      <c r="E88" s="83">
        <v>1</v>
      </c>
      <c r="F88" s="87">
        <f>254.44*1.1138</f>
        <v>283.39527199999998</v>
      </c>
      <c r="G88" s="83">
        <f>ROUND(F88*1.2685,2)</f>
        <v>359.49</v>
      </c>
      <c r="H88" s="131">
        <f>ROUND(G88*E88,2)</f>
        <v>359.49</v>
      </c>
    </row>
    <row r="89" spans="1:9" s="14" customFormat="1" ht="16.5">
      <c r="A89" s="148" t="s">
        <v>245</v>
      </c>
      <c r="B89" s="148"/>
      <c r="C89" s="148"/>
      <c r="D89" s="148"/>
      <c r="E89" s="148"/>
      <c r="F89" s="148"/>
      <c r="G89" s="148"/>
      <c r="H89" s="132">
        <f>SUM(H88,)</f>
        <v>359.49</v>
      </c>
    </row>
    <row r="90" spans="1:9" s="48" customFormat="1" ht="16.5">
      <c r="A90" s="115" t="s">
        <v>268</v>
      </c>
      <c r="B90" s="76"/>
      <c r="C90" s="77" t="s">
        <v>32</v>
      </c>
      <c r="D90" s="78"/>
      <c r="E90" s="79"/>
      <c r="F90" s="79"/>
      <c r="G90" s="84"/>
      <c r="H90" s="130"/>
    </row>
    <row r="91" spans="1:9" s="14" customFormat="1" ht="16.5">
      <c r="A91" s="96" t="s">
        <v>269</v>
      </c>
      <c r="B91" s="106" t="s">
        <v>258</v>
      </c>
      <c r="C91" s="93" t="s">
        <v>80</v>
      </c>
      <c r="D91" s="86" t="s">
        <v>82</v>
      </c>
      <c r="E91" s="83">
        <v>237.45</v>
      </c>
      <c r="F91" s="87">
        <v>2.4</v>
      </c>
      <c r="G91" s="83">
        <f>ROUND(F91*1.2685,2)</f>
        <v>3.04</v>
      </c>
      <c r="H91" s="131">
        <f>ROUND(G91*E91,2)</f>
        <v>721.85</v>
      </c>
    </row>
    <row r="92" spans="1:9" s="14" customFormat="1" ht="17.25" thickBot="1">
      <c r="A92" s="156" t="s">
        <v>270</v>
      </c>
      <c r="B92" s="156"/>
      <c r="C92" s="156"/>
      <c r="D92" s="156"/>
      <c r="E92" s="156"/>
      <c r="F92" s="156"/>
      <c r="G92" s="156"/>
      <c r="H92" s="134">
        <f>SUM(H91,)</f>
        <v>721.85</v>
      </c>
    </row>
    <row r="93" spans="1:9" ht="17.25" thickBot="1">
      <c r="A93" s="141" t="s">
        <v>14</v>
      </c>
      <c r="B93" s="142"/>
      <c r="C93" s="142"/>
      <c r="D93" s="142"/>
      <c r="E93" s="142"/>
      <c r="F93" s="142"/>
      <c r="G93" s="143"/>
      <c r="H93" s="135">
        <f>SUM(H10,H21,H28,H32,H49,H52,H86,H58,H61,H67,H73,H78,H83,H89,H92)</f>
        <v>105765.67</v>
      </c>
    </row>
    <row r="94" spans="1:9" s="6" customFormat="1" ht="15" customHeight="1">
      <c r="A94" s="139" t="s">
        <v>284</v>
      </c>
      <c r="B94" s="139"/>
      <c r="C94" s="98"/>
      <c r="D94" s="98"/>
      <c r="E94" s="98"/>
      <c r="F94" s="140"/>
      <c r="G94" s="140"/>
      <c r="H94" s="140"/>
      <c r="I94" s="69"/>
    </row>
    <row r="95" spans="1:9" s="6" customFormat="1">
      <c r="A95" s="147" t="s">
        <v>276</v>
      </c>
      <c r="B95" s="147"/>
      <c r="C95" s="147"/>
      <c r="D95" s="147"/>
      <c r="E95" s="147"/>
      <c r="F95" s="147"/>
      <c r="G95" s="147"/>
      <c r="H95" s="147"/>
      <c r="I95" s="69"/>
    </row>
    <row r="96" spans="1:9" s="6" customFormat="1" ht="16.5">
      <c r="A96" s="69"/>
      <c r="B96" s="69"/>
      <c r="C96" s="69"/>
      <c r="D96" s="50"/>
      <c r="E96" s="74"/>
      <c r="F96" s="144" t="s">
        <v>283</v>
      </c>
      <c r="G96" s="144"/>
      <c r="H96" s="144"/>
      <c r="I96" s="69"/>
    </row>
    <row r="97" spans="1:9">
      <c r="A97" s="2"/>
      <c r="B97" s="2"/>
      <c r="C97" s="70"/>
      <c r="D97" s="71"/>
      <c r="E97" s="75"/>
      <c r="F97" s="75"/>
      <c r="G97" s="75"/>
      <c r="H97" s="136"/>
      <c r="I97" s="69"/>
    </row>
    <row r="98" spans="1:9" s="68" customFormat="1">
      <c r="A98" s="69"/>
      <c r="B98" s="69"/>
      <c r="C98" s="69"/>
      <c r="D98" s="50"/>
      <c r="E98" s="74"/>
      <c r="F98" s="74"/>
      <c r="G98" s="74"/>
      <c r="H98" s="137"/>
      <c r="I98" s="69"/>
    </row>
    <row r="99" spans="1:9" s="68" customFormat="1">
      <c r="A99" s="2"/>
      <c r="B99" s="2"/>
      <c r="C99" s="70"/>
      <c r="D99" s="71"/>
      <c r="E99" s="75"/>
      <c r="F99" s="75"/>
      <c r="G99" s="75"/>
      <c r="H99" s="136"/>
      <c r="I99" s="69"/>
    </row>
    <row r="100" spans="1:9" s="68" customFormat="1">
      <c r="A100" s="69"/>
      <c r="B100" s="69"/>
      <c r="C100" s="69"/>
      <c r="D100" s="50"/>
      <c r="E100" s="74"/>
      <c r="F100" s="74"/>
      <c r="G100" s="74"/>
      <c r="H100" s="137"/>
      <c r="I100" s="69"/>
    </row>
    <row r="101" spans="1:9" s="68" customFormat="1" ht="15.75" customHeight="1">
      <c r="A101" s="2"/>
      <c r="B101" s="2"/>
      <c r="C101" s="70"/>
      <c r="D101" s="71"/>
      <c r="E101" s="75"/>
      <c r="F101" s="75"/>
      <c r="G101" s="75"/>
      <c r="H101" s="136"/>
      <c r="I101" s="69"/>
    </row>
    <row r="102" spans="1:9">
      <c r="A102" s="145" t="s">
        <v>277</v>
      </c>
      <c r="B102" s="145"/>
      <c r="C102" s="145"/>
      <c r="D102" s="145"/>
      <c r="E102" s="145"/>
      <c r="F102" s="145"/>
      <c r="G102" s="145"/>
      <c r="H102" s="145"/>
      <c r="I102" s="69"/>
    </row>
    <row r="103" spans="1:9">
      <c r="A103" s="146" t="s">
        <v>278</v>
      </c>
      <c r="B103" s="145"/>
      <c r="C103" s="145"/>
      <c r="D103" s="145"/>
      <c r="E103" s="145"/>
      <c r="F103" s="145"/>
      <c r="G103" s="145"/>
      <c r="H103" s="145"/>
      <c r="I103" s="69"/>
    </row>
    <row r="104" spans="1:9">
      <c r="A104" s="2"/>
      <c r="B104" s="2"/>
      <c r="C104" s="70"/>
      <c r="D104" s="71"/>
      <c r="E104" s="75"/>
      <c r="F104" s="75"/>
      <c r="G104" s="75"/>
      <c r="H104" s="136"/>
      <c r="I104" s="69"/>
    </row>
    <row r="105" spans="1:9">
      <c r="A105" s="69"/>
      <c r="B105" s="69"/>
      <c r="C105" s="70"/>
      <c r="D105" s="50"/>
      <c r="E105" s="74"/>
      <c r="F105" s="74"/>
      <c r="G105" s="74"/>
      <c r="H105" s="137"/>
      <c r="I105" s="69"/>
    </row>
    <row r="106" spans="1:9">
      <c r="A106" s="69"/>
      <c r="B106" s="69"/>
      <c r="C106" s="70"/>
      <c r="D106" s="50"/>
      <c r="E106" s="74"/>
      <c r="F106" s="74"/>
      <c r="G106" s="74"/>
      <c r="H106" s="137"/>
      <c r="I106" s="69"/>
    </row>
    <row r="107" spans="1:9">
      <c r="A107" s="69"/>
      <c r="B107" s="69"/>
      <c r="C107" s="70"/>
      <c r="D107" s="50"/>
      <c r="E107" s="74"/>
      <c r="F107" s="74"/>
      <c r="G107" s="74"/>
      <c r="H107" s="137"/>
      <c r="I107" s="69"/>
    </row>
  </sheetData>
  <mergeCells count="25">
    <mergeCell ref="Q7:R7"/>
    <mergeCell ref="A52:G52"/>
    <mergeCell ref="A83:G83"/>
    <mergeCell ref="A86:G86"/>
    <mergeCell ref="A103:H103"/>
    <mergeCell ref="A95:H95"/>
    <mergeCell ref="A58:G58"/>
    <mergeCell ref="A1:B6"/>
    <mergeCell ref="C3:C4"/>
    <mergeCell ref="A10:G10"/>
    <mergeCell ref="A21:G21"/>
    <mergeCell ref="A28:G28"/>
    <mergeCell ref="A49:G49"/>
    <mergeCell ref="A67:G67"/>
    <mergeCell ref="A92:G92"/>
    <mergeCell ref="A73:G73"/>
    <mergeCell ref="A32:G32"/>
    <mergeCell ref="A89:G89"/>
    <mergeCell ref="A78:G78"/>
    <mergeCell ref="A61:G61"/>
    <mergeCell ref="A94:B94"/>
    <mergeCell ref="F94:H94"/>
    <mergeCell ref="A93:G93"/>
    <mergeCell ref="F96:H96"/>
    <mergeCell ref="A102:H102"/>
  </mergeCells>
  <printOptions horizontalCentered="1" verticalCentered="1"/>
  <pageMargins left="0.27559055118110237" right="0.27559055118110237" top="0.78740157480314965" bottom="0.27559055118110237" header="0.19685039370078741" footer="0.19685039370078741"/>
  <pageSetup paperSize="274" scale="90" fitToHeight="0" orientation="landscape" r:id="rId1"/>
  <ignoredErrors>
    <ignoredError sqref="F2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topLeftCell="A70" workbookViewId="0">
      <selection activeCell="C11" sqref="C11"/>
    </sheetView>
  </sheetViews>
  <sheetFormatPr defaultRowHeight="15"/>
  <cols>
    <col min="1" max="1" width="18.28515625" customWidth="1"/>
    <col min="2" max="2" width="17.28515625" customWidth="1"/>
    <col min="3" max="3" width="57" bestFit="1" customWidth="1"/>
    <col min="4" max="4" width="5.85546875" bestFit="1" customWidth="1"/>
    <col min="5" max="5" width="10.140625" style="16" customWidth="1"/>
    <col min="6" max="6" width="8.42578125" bestFit="1" customWidth="1"/>
    <col min="7" max="7" width="9.5703125" bestFit="1" customWidth="1"/>
    <col min="8" max="8" width="7.42578125" bestFit="1" customWidth="1"/>
    <col min="9" max="9" width="8.7109375" bestFit="1" customWidth="1"/>
  </cols>
  <sheetData>
    <row r="1" spans="1:8" s="10" customFormat="1" ht="75">
      <c r="A1" s="28" t="s">
        <v>34</v>
      </c>
      <c r="B1" s="28" t="s">
        <v>41</v>
      </c>
      <c r="C1" s="29" t="s">
        <v>52</v>
      </c>
      <c r="D1" s="28" t="s">
        <v>36</v>
      </c>
      <c r="E1" s="161" t="s">
        <v>37</v>
      </c>
      <c r="F1" s="161"/>
      <c r="G1" s="161"/>
      <c r="H1" s="4"/>
    </row>
    <row r="2" spans="1:8" s="10" customFormat="1" ht="45">
      <c r="A2" s="17" t="s">
        <v>38</v>
      </c>
      <c r="B2" s="18">
        <v>95726</v>
      </c>
      <c r="C2" s="19" t="s">
        <v>42</v>
      </c>
      <c r="D2" s="17" t="s">
        <v>26</v>
      </c>
      <c r="E2" s="20">
        <v>2</v>
      </c>
      <c r="F2" s="21">
        <v>4.46</v>
      </c>
      <c r="G2" s="30">
        <f t="shared" ref="G2:G9" si="0">F2*E2</f>
        <v>8.92</v>
      </c>
      <c r="H2" s="4"/>
    </row>
    <row r="3" spans="1:8" s="10" customFormat="1" ht="45">
      <c r="A3" s="17" t="s">
        <v>38</v>
      </c>
      <c r="B3" s="18">
        <v>95729</v>
      </c>
      <c r="C3" s="19" t="s">
        <v>42</v>
      </c>
      <c r="D3" s="17" t="s">
        <v>26</v>
      </c>
      <c r="E3" s="20">
        <v>2.2000000000000002</v>
      </c>
      <c r="F3" s="21">
        <v>6.39</v>
      </c>
      <c r="G3" s="30">
        <f t="shared" si="0"/>
        <v>14.058</v>
      </c>
      <c r="H3" s="4"/>
    </row>
    <row r="4" spans="1:8" s="10" customFormat="1" ht="60">
      <c r="A4" s="17" t="s">
        <v>38</v>
      </c>
      <c r="B4" s="18">
        <v>91930</v>
      </c>
      <c r="C4" s="19" t="s">
        <v>43</v>
      </c>
      <c r="D4" s="17" t="s">
        <v>26</v>
      </c>
      <c r="E4" s="20">
        <v>12.6</v>
      </c>
      <c r="F4" s="21">
        <v>5.35</v>
      </c>
      <c r="G4" s="30">
        <f t="shared" si="0"/>
        <v>67.41</v>
      </c>
      <c r="H4" s="4"/>
    </row>
    <row r="5" spans="1:8" s="10" customFormat="1" ht="30">
      <c r="A5" s="17" t="s">
        <v>38</v>
      </c>
      <c r="B5" s="18">
        <v>90436</v>
      </c>
      <c r="C5" s="19" t="s">
        <v>44</v>
      </c>
      <c r="D5" s="17" t="s">
        <v>36</v>
      </c>
      <c r="E5" s="20">
        <v>1</v>
      </c>
      <c r="F5" s="22">
        <v>12</v>
      </c>
      <c r="G5" s="30">
        <f t="shared" si="0"/>
        <v>12</v>
      </c>
      <c r="H5" s="4"/>
    </row>
    <row r="6" spans="1:8" s="10" customFormat="1" ht="30">
      <c r="A6" s="17" t="s">
        <v>45</v>
      </c>
      <c r="B6" s="18">
        <v>12010</v>
      </c>
      <c r="C6" s="19" t="s">
        <v>54</v>
      </c>
      <c r="D6" s="17" t="s">
        <v>36</v>
      </c>
      <c r="E6" s="20">
        <v>1</v>
      </c>
      <c r="F6" s="21">
        <v>6.72</v>
      </c>
      <c r="G6" s="30">
        <f t="shared" si="0"/>
        <v>6.72</v>
      </c>
      <c r="H6" s="4"/>
    </row>
    <row r="7" spans="1:8" s="10" customFormat="1">
      <c r="A7" s="17" t="s">
        <v>45</v>
      </c>
      <c r="B7" s="18">
        <v>7543</v>
      </c>
      <c r="C7" s="19" t="s">
        <v>46</v>
      </c>
      <c r="D7" s="17" t="s">
        <v>36</v>
      </c>
      <c r="E7" s="20">
        <v>1</v>
      </c>
      <c r="F7" s="21">
        <v>3.6</v>
      </c>
      <c r="G7" s="30">
        <f t="shared" si="0"/>
        <v>3.6</v>
      </c>
      <c r="H7" s="4"/>
    </row>
    <row r="8" spans="1:8" s="10" customFormat="1" ht="45">
      <c r="A8" s="17" t="s">
        <v>38</v>
      </c>
      <c r="B8" s="18">
        <v>93665</v>
      </c>
      <c r="C8" s="19" t="s">
        <v>53</v>
      </c>
      <c r="D8" s="17" t="s">
        <v>36</v>
      </c>
      <c r="E8" s="20">
        <v>1</v>
      </c>
      <c r="F8" s="21">
        <v>74.75</v>
      </c>
      <c r="G8" s="30">
        <f t="shared" si="0"/>
        <v>74.75</v>
      </c>
      <c r="H8" s="4"/>
    </row>
    <row r="9" spans="1:8" s="10" customFormat="1" ht="45">
      <c r="A9" s="17" t="s">
        <v>38</v>
      </c>
      <c r="B9" s="18" t="s">
        <v>47</v>
      </c>
      <c r="C9" s="19" t="s">
        <v>48</v>
      </c>
      <c r="D9" s="17" t="s">
        <v>36</v>
      </c>
      <c r="E9" s="20">
        <v>1</v>
      </c>
      <c r="F9" s="21">
        <v>38.96</v>
      </c>
      <c r="G9" s="30">
        <f t="shared" si="0"/>
        <v>38.96</v>
      </c>
      <c r="H9" s="2"/>
    </row>
    <row r="10" spans="1:8" s="10" customFormat="1" ht="15" customHeight="1">
      <c r="A10" s="162" t="s">
        <v>49</v>
      </c>
      <c r="B10" s="162"/>
      <c r="C10" s="162"/>
      <c r="D10" s="162"/>
      <c r="E10" s="162"/>
      <c r="F10" s="162"/>
      <c r="G10" s="30">
        <f>SUM(G2:G9)</f>
        <v>226.41800000000001</v>
      </c>
    </row>
    <row r="11" spans="1:8" s="10" customFormat="1" ht="90">
      <c r="A11" s="26" t="s">
        <v>34</v>
      </c>
      <c r="B11" s="26" t="s">
        <v>35</v>
      </c>
      <c r="C11" s="27" t="s">
        <v>79</v>
      </c>
      <c r="D11" s="26" t="s">
        <v>36</v>
      </c>
      <c r="E11" s="161" t="s">
        <v>37</v>
      </c>
      <c r="F11" s="161"/>
      <c r="G11" s="161"/>
    </row>
    <row r="12" spans="1:8" s="10" customFormat="1" ht="45">
      <c r="A12" s="17" t="s">
        <v>38</v>
      </c>
      <c r="B12" s="18">
        <v>95726</v>
      </c>
      <c r="C12" s="19" t="s">
        <v>42</v>
      </c>
      <c r="D12" s="17" t="s">
        <v>26</v>
      </c>
      <c r="E12" s="20">
        <v>2</v>
      </c>
      <c r="F12" s="21">
        <v>4.46</v>
      </c>
      <c r="G12" s="30">
        <f t="shared" ref="G12:G18" si="1">F12*E12</f>
        <v>8.92</v>
      </c>
      <c r="H12" s="4"/>
    </row>
    <row r="13" spans="1:8" s="10" customFormat="1" ht="45">
      <c r="A13" s="17" t="s">
        <v>38</v>
      </c>
      <c r="B13" s="18">
        <v>95729</v>
      </c>
      <c r="C13" s="19" t="s">
        <v>42</v>
      </c>
      <c r="D13" s="17" t="s">
        <v>26</v>
      </c>
      <c r="E13" s="20">
        <v>2.2000000000000002</v>
      </c>
      <c r="F13" s="21">
        <v>6.39</v>
      </c>
      <c r="G13" s="30">
        <f t="shared" si="1"/>
        <v>14.058</v>
      </c>
      <c r="H13" s="4"/>
    </row>
    <row r="14" spans="1:8" s="10" customFormat="1" ht="42.75">
      <c r="A14" s="23" t="s">
        <v>38</v>
      </c>
      <c r="B14" s="23">
        <v>91928</v>
      </c>
      <c r="C14" s="24" t="s">
        <v>39</v>
      </c>
      <c r="D14" s="23" t="s">
        <v>26</v>
      </c>
      <c r="E14" s="25">
        <v>12.6</v>
      </c>
      <c r="F14" s="13">
        <v>3.95</v>
      </c>
      <c r="G14" s="12">
        <f t="shared" si="1"/>
        <v>49.77</v>
      </c>
      <c r="H14" s="4"/>
    </row>
    <row r="15" spans="1:8" s="10" customFormat="1" ht="28.5">
      <c r="A15" s="23" t="s">
        <v>45</v>
      </c>
      <c r="B15" s="23">
        <v>39352</v>
      </c>
      <c r="C15" s="24" t="s">
        <v>55</v>
      </c>
      <c r="D15" s="23" t="s">
        <v>36</v>
      </c>
      <c r="E15" s="25">
        <v>1</v>
      </c>
      <c r="F15" s="13">
        <v>2.2200000000000002</v>
      </c>
      <c r="G15" s="12">
        <f t="shared" si="1"/>
        <v>2.2200000000000002</v>
      </c>
      <c r="H15" s="4"/>
    </row>
    <row r="16" spans="1:8" s="10" customFormat="1" ht="42.75">
      <c r="A16" s="23" t="s">
        <v>38</v>
      </c>
      <c r="B16" s="23" t="s">
        <v>58</v>
      </c>
      <c r="C16" s="24" t="s">
        <v>60</v>
      </c>
      <c r="D16" s="23" t="s">
        <v>36</v>
      </c>
      <c r="E16" s="25">
        <v>1</v>
      </c>
      <c r="F16" s="13">
        <v>11.97</v>
      </c>
      <c r="G16" s="12">
        <f t="shared" si="1"/>
        <v>11.97</v>
      </c>
      <c r="H16" s="4"/>
    </row>
    <row r="17" spans="1:8" s="10" customFormat="1" ht="28.5">
      <c r="A17" s="23" t="s">
        <v>38</v>
      </c>
      <c r="B17" s="23">
        <v>93663</v>
      </c>
      <c r="C17" s="24" t="s">
        <v>40</v>
      </c>
      <c r="D17" s="23" t="s">
        <v>36</v>
      </c>
      <c r="E17" s="25">
        <v>1</v>
      </c>
      <c r="F17" s="13">
        <v>69.12</v>
      </c>
      <c r="G17" s="12">
        <f t="shared" si="1"/>
        <v>69.12</v>
      </c>
      <c r="H17" s="4"/>
    </row>
    <row r="18" spans="1:8" s="10" customFormat="1" ht="42.75">
      <c r="A18" s="23" t="s">
        <v>38</v>
      </c>
      <c r="B18" s="23" t="s">
        <v>56</v>
      </c>
      <c r="C18" s="24" t="s">
        <v>57</v>
      </c>
      <c r="D18" s="23" t="s">
        <v>36</v>
      </c>
      <c r="E18" s="25">
        <v>1</v>
      </c>
      <c r="F18" s="13">
        <v>7.11</v>
      </c>
      <c r="G18" s="12">
        <f t="shared" si="1"/>
        <v>7.11</v>
      </c>
      <c r="H18" s="2"/>
    </row>
    <row r="19" spans="1:8" ht="15" customHeight="1">
      <c r="A19" s="163" t="s">
        <v>49</v>
      </c>
      <c r="B19" s="163"/>
      <c r="C19" s="163"/>
      <c r="D19" s="163"/>
      <c r="E19" s="163"/>
      <c r="F19" s="163"/>
      <c r="G19" s="12">
        <f>SUM(G12:G18)</f>
        <v>163.16800000000001</v>
      </c>
    </row>
    <row r="22" spans="1:8" ht="60">
      <c r="A22" s="28" t="s">
        <v>34</v>
      </c>
      <c r="B22" s="28" t="s">
        <v>51</v>
      </c>
      <c r="C22" s="29" t="s">
        <v>63</v>
      </c>
      <c r="D22" s="28" t="s">
        <v>36</v>
      </c>
      <c r="E22" s="164" t="s">
        <v>37</v>
      </c>
      <c r="F22" s="165"/>
      <c r="G22" s="166"/>
    </row>
    <row r="23" spans="1:8" ht="42.75">
      <c r="A23" s="34" t="s">
        <v>38</v>
      </c>
      <c r="B23" s="35">
        <v>95726</v>
      </c>
      <c r="C23" s="36" t="s">
        <v>42</v>
      </c>
      <c r="D23" s="34" t="s">
        <v>26</v>
      </c>
      <c r="E23" s="37">
        <v>2</v>
      </c>
      <c r="F23" s="12">
        <v>4.46</v>
      </c>
      <c r="G23" s="12">
        <f t="shared" ref="G23:G28" si="2">F23*E23</f>
        <v>8.92</v>
      </c>
    </row>
    <row r="24" spans="1:8" ht="42.75">
      <c r="A24" s="34" t="s">
        <v>38</v>
      </c>
      <c r="B24" s="35">
        <v>95729</v>
      </c>
      <c r="C24" s="36" t="s">
        <v>42</v>
      </c>
      <c r="D24" s="34" t="s">
        <v>26</v>
      </c>
      <c r="E24" s="37">
        <v>2.2000000000000002</v>
      </c>
      <c r="F24" s="12">
        <v>6.39</v>
      </c>
      <c r="G24" s="12">
        <f t="shared" si="2"/>
        <v>14.058</v>
      </c>
    </row>
    <row r="25" spans="1:8" ht="42.75">
      <c r="A25" s="38" t="s">
        <v>38</v>
      </c>
      <c r="B25" s="35">
        <v>91926</v>
      </c>
      <c r="C25" s="24" t="s">
        <v>50</v>
      </c>
      <c r="D25" s="23" t="s">
        <v>26</v>
      </c>
      <c r="E25" s="39">
        <v>12.6</v>
      </c>
      <c r="F25" s="12">
        <v>2.57</v>
      </c>
      <c r="G25" s="12">
        <f t="shared" si="2"/>
        <v>32.381999999999998</v>
      </c>
    </row>
    <row r="26" spans="1:8" ht="28.5">
      <c r="A26" s="34" t="s">
        <v>38</v>
      </c>
      <c r="B26" s="35">
        <v>90436</v>
      </c>
      <c r="C26" s="36" t="s">
        <v>44</v>
      </c>
      <c r="D26" s="34" t="s">
        <v>36</v>
      </c>
      <c r="E26" s="37">
        <v>1</v>
      </c>
      <c r="F26" s="11">
        <v>12</v>
      </c>
      <c r="G26" s="12">
        <f t="shared" si="2"/>
        <v>12</v>
      </c>
    </row>
    <row r="27" spans="1:8" ht="42.75">
      <c r="A27" s="34"/>
      <c r="B27" s="35" t="s">
        <v>61</v>
      </c>
      <c r="C27" s="36" t="s">
        <v>62</v>
      </c>
      <c r="D27" s="34" t="s">
        <v>36</v>
      </c>
      <c r="E27" s="37">
        <v>1</v>
      </c>
      <c r="F27" s="12">
        <v>11.97</v>
      </c>
      <c r="G27" s="12">
        <f t="shared" si="2"/>
        <v>11.97</v>
      </c>
    </row>
    <row r="28" spans="1:8" ht="42.75">
      <c r="A28" s="34" t="s">
        <v>38</v>
      </c>
      <c r="B28" s="35">
        <v>92005</v>
      </c>
      <c r="C28" s="36" t="s">
        <v>59</v>
      </c>
      <c r="D28" s="34" t="s">
        <v>36</v>
      </c>
      <c r="E28" s="37">
        <v>1</v>
      </c>
      <c r="F28" s="12">
        <v>48.96</v>
      </c>
      <c r="G28" s="12">
        <f t="shared" si="2"/>
        <v>48.96</v>
      </c>
    </row>
    <row r="29" spans="1:8" ht="15" customHeight="1">
      <c r="A29" s="158" t="s">
        <v>49</v>
      </c>
      <c r="B29" s="159"/>
      <c r="C29" s="159"/>
      <c r="D29" s="159"/>
      <c r="E29" s="159"/>
      <c r="F29" s="160"/>
      <c r="G29" s="30">
        <f>SUM(G23:G28)</f>
        <v>128.29</v>
      </c>
    </row>
    <row r="30" spans="1:8" s="10" customFormat="1">
      <c r="A30" s="32"/>
      <c r="B30" s="32"/>
      <c r="C30" s="32"/>
      <c r="D30" s="32"/>
      <c r="E30" s="32"/>
      <c r="F30" s="32"/>
      <c r="G30" s="33"/>
    </row>
    <row r="31" spans="1:8" ht="75">
      <c r="A31" s="28" t="s">
        <v>34</v>
      </c>
      <c r="B31" s="28" t="s">
        <v>64</v>
      </c>
      <c r="C31" s="29" t="s">
        <v>78</v>
      </c>
      <c r="D31" s="28" t="s">
        <v>36</v>
      </c>
      <c r="E31" s="164" t="s">
        <v>37</v>
      </c>
      <c r="F31" s="165"/>
      <c r="G31" s="166"/>
    </row>
    <row r="32" spans="1:8" ht="42.75">
      <c r="A32" s="34" t="s">
        <v>38</v>
      </c>
      <c r="B32" s="35">
        <v>95726</v>
      </c>
      <c r="C32" s="36" t="s">
        <v>42</v>
      </c>
      <c r="D32" s="34" t="s">
        <v>26</v>
      </c>
      <c r="E32" s="37">
        <v>2</v>
      </c>
      <c r="F32" s="12">
        <v>4.46</v>
      </c>
      <c r="G32" s="12">
        <f t="shared" ref="G32:G37" si="3">F32*E32</f>
        <v>8.92</v>
      </c>
    </row>
    <row r="33" spans="1:7" ht="42.75">
      <c r="A33" s="34" t="s">
        <v>38</v>
      </c>
      <c r="B33" s="35">
        <v>95729</v>
      </c>
      <c r="C33" s="36" t="s">
        <v>42</v>
      </c>
      <c r="D33" s="34" t="s">
        <v>26</v>
      </c>
      <c r="E33" s="37">
        <v>2.2000000000000002</v>
      </c>
      <c r="F33" s="12">
        <v>6.39</v>
      </c>
      <c r="G33" s="12">
        <f t="shared" si="3"/>
        <v>14.058</v>
      </c>
    </row>
    <row r="34" spans="1:7" ht="42.75">
      <c r="A34" s="38" t="s">
        <v>38</v>
      </c>
      <c r="B34" s="35">
        <v>91926</v>
      </c>
      <c r="C34" s="24" t="s">
        <v>50</v>
      </c>
      <c r="D34" s="23" t="s">
        <v>26</v>
      </c>
      <c r="E34" s="39">
        <v>12.6</v>
      </c>
      <c r="F34" s="12">
        <v>2.57</v>
      </c>
      <c r="G34" s="12">
        <f t="shared" si="3"/>
        <v>32.381999999999998</v>
      </c>
    </row>
    <row r="35" spans="1:7" ht="28.5">
      <c r="A35" s="34" t="s">
        <v>38</v>
      </c>
      <c r="B35" s="35">
        <v>90436</v>
      </c>
      <c r="C35" s="36" t="s">
        <v>44</v>
      </c>
      <c r="D35" s="34" t="s">
        <v>36</v>
      </c>
      <c r="E35" s="37">
        <v>1</v>
      </c>
      <c r="F35" s="11">
        <v>12</v>
      </c>
      <c r="G35" s="12">
        <f t="shared" si="3"/>
        <v>12</v>
      </c>
    </row>
    <row r="36" spans="1:7" ht="42.75">
      <c r="A36" s="34"/>
      <c r="B36" s="35" t="s">
        <v>61</v>
      </c>
      <c r="C36" s="36" t="s">
        <v>62</v>
      </c>
      <c r="D36" s="34" t="s">
        <v>36</v>
      </c>
      <c r="E36" s="37">
        <v>1</v>
      </c>
      <c r="F36" s="12">
        <v>11.97</v>
      </c>
      <c r="G36" s="12">
        <f t="shared" si="3"/>
        <v>11.97</v>
      </c>
    </row>
    <row r="37" spans="1:7" ht="42.75">
      <c r="A37" s="34" t="s">
        <v>38</v>
      </c>
      <c r="B37" s="35" t="s">
        <v>76</v>
      </c>
      <c r="C37" s="36" t="s">
        <v>77</v>
      </c>
      <c r="D37" s="34" t="s">
        <v>36</v>
      </c>
      <c r="E37" s="37">
        <v>1</v>
      </c>
      <c r="F37" s="12">
        <v>22.05</v>
      </c>
      <c r="G37" s="12">
        <f t="shared" si="3"/>
        <v>22.05</v>
      </c>
    </row>
    <row r="38" spans="1:7" ht="15" customHeight="1">
      <c r="A38" s="158" t="s">
        <v>49</v>
      </c>
      <c r="B38" s="159"/>
      <c r="C38" s="159"/>
      <c r="D38" s="159"/>
      <c r="E38" s="159"/>
      <c r="F38" s="160"/>
      <c r="G38" s="30">
        <f>SUM(G32:G37)</f>
        <v>101.38</v>
      </c>
    </row>
    <row r="40" spans="1:7" ht="75">
      <c r="A40" s="28" t="s">
        <v>34</v>
      </c>
      <c r="B40" s="28" t="s">
        <v>65</v>
      </c>
      <c r="C40" s="29" t="s">
        <v>73</v>
      </c>
      <c r="D40" s="28" t="s">
        <v>36</v>
      </c>
      <c r="E40" s="164" t="s">
        <v>37</v>
      </c>
      <c r="F40" s="165"/>
      <c r="G40" s="166"/>
    </row>
    <row r="41" spans="1:7" ht="42.75">
      <c r="A41" s="34" t="s">
        <v>38</v>
      </c>
      <c r="B41" s="35">
        <v>95726</v>
      </c>
      <c r="C41" s="36" t="s">
        <v>42</v>
      </c>
      <c r="D41" s="34" t="s">
        <v>26</v>
      </c>
      <c r="E41" s="37">
        <v>2</v>
      </c>
      <c r="F41" s="12">
        <v>4.46</v>
      </c>
      <c r="G41" s="12">
        <f t="shared" ref="G41:G46" si="4">F41*E41</f>
        <v>8.92</v>
      </c>
    </row>
    <row r="42" spans="1:7" ht="42.75">
      <c r="A42" s="34" t="s">
        <v>38</v>
      </c>
      <c r="B42" s="35">
        <v>95729</v>
      </c>
      <c r="C42" s="36" t="s">
        <v>42</v>
      </c>
      <c r="D42" s="34" t="s">
        <v>26</v>
      </c>
      <c r="E42" s="37">
        <v>2.2000000000000002</v>
      </c>
      <c r="F42" s="12">
        <v>6.39</v>
      </c>
      <c r="G42" s="12">
        <f t="shared" si="4"/>
        <v>14.058</v>
      </c>
    </row>
    <row r="43" spans="1:7" ht="42.75">
      <c r="A43" s="34" t="s">
        <v>38</v>
      </c>
      <c r="B43" s="35">
        <v>91926</v>
      </c>
      <c r="C43" s="24" t="s">
        <v>50</v>
      </c>
      <c r="D43" s="23" t="s">
        <v>26</v>
      </c>
      <c r="E43" s="37">
        <v>12.6</v>
      </c>
      <c r="F43" s="12">
        <v>2.57</v>
      </c>
      <c r="G43" s="12">
        <f t="shared" si="4"/>
        <v>32.381999999999998</v>
      </c>
    </row>
    <row r="44" spans="1:7" ht="28.5">
      <c r="A44" s="34" t="s">
        <v>38</v>
      </c>
      <c r="B44" s="35">
        <v>90436</v>
      </c>
      <c r="C44" s="36" t="s">
        <v>44</v>
      </c>
      <c r="D44" s="34" t="s">
        <v>36</v>
      </c>
      <c r="E44" s="37">
        <v>1</v>
      </c>
      <c r="F44" s="11">
        <v>12</v>
      </c>
      <c r="G44" s="12">
        <f t="shared" si="4"/>
        <v>12</v>
      </c>
    </row>
    <row r="45" spans="1:7" ht="42.75">
      <c r="A45" s="34"/>
      <c r="B45" s="35" t="s">
        <v>61</v>
      </c>
      <c r="C45" s="36" t="s">
        <v>62</v>
      </c>
      <c r="D45" s="34" t="s">
        <v>36</v>
      </c>
      <c r="E45" s="37">
        <v>1</v>
      </c>
      <c r="F45" s="12">
        <v>11.97</v>
      </c>
      <c r="G45" s="12">
        <f t="shared" si="4"/>
        <v>11.97</v>
      </c>
    </row>
    <row r="46" spans="1:7" ht="42.75">
      <c r="A46" s="34" t="s">
        <v>38</v>
      </c>
      <c r="B46" s="35" t="s">
        <v>71</v>
      </c>
      <c r="C46" s="36" t="s">
        <v>72</v>
      </c>
      <c r="D46" s="34" t="s">
        <v>36</v>
      </c>
      <c r="E46" s="37">
        <v>1</v>
      </c>
      <c r="F46" s="12">
        <v>13.66</v>
      </c>
      <c r="G46" s="12">
        <f t="shared" si="4"/>
        <v>13.66</v>
      </c>
    </row>
    <row r="47" spans="1:7" ht="15" customHeight="1">
      <c r="A47" s="158" t="s">
        <v>49</v>
      </c>
      <c r="B47" s="159"/>
      <c r="C47" s="159"/>
      <c r="D47" s="159"/>
      <c r="E47" s="159"/>
      <c r="F47" s="160"/>
      <c r="G47" s="30">
        <f>SUM(G41:G46)</f>
        <v>92.99</v>
      </c>
    </row>
    <row r="48" spans="1:7">
      <c r="C48" s="31"/>
    </row>
    <row r="49" spans="1:9" ht="60">
      <c r="A49" s="28" t="s">
        <v>34</v>
      </c>
      <c r="B49" s="28" t="s">
        <v>66</v>
      </c>
      <c r="C49" s="29" t="s">
        <v>63</v>
      </c>
      <c r="D49" s="28" t="s">
        <v>36</v>
      </c>
      <c r="E49" s="164" t="s">
        <v>37</v>
      </c>
      <c r="F49" s="165"/>
      <c r="G49" s="166"/>
    </row>
    <row r="50" spans="1:9" ht="42.75">
      <c r="A50" s="34" t="s">
        <v>38</v>
      </c>
      <c r="B50" s="35">
        <v>95726</v>
      </c>
      <c r="C50" s="36" t="s">
        <v>42</v>
      </c>
      <c r="D50" s="34" t="s">
        <v>26</v>
      </c>
      <c r="E50" s="37">
        <v>2</v>
      </c>
      <c r="F50" s="12">
        <v>4.46</v>
      </c>
      <c r="G50" s="12">
        <f t="shared" ref="G50:G55" si="5">F50*E50</f>
        <v>8.92</v>
      </c>
    </row>
    <row r="51" spans="1:9" ht="42.75">
      <c r="A51" s="34" t="s">
        <v>38</v>
      </c>
      <c r="B51" s="35">
        <v>95729</v>
      </c>
      <c r="C51" s="36" t="s">
        <v>42</v>
      </c>
      <c r="D51" s="34" t="s">
        <v>26</v>
      </c>
      <c r="E51" s="37">
        <v>2.2000000000000002</v>
      </c>
      <c r="F51" s="12">
        <v>6.39</v>
      </c>
      <c r="G51" s="12">
        <f t="shared" si="5"/>
        <v>14.058</v>
      </c>
    </row>
    <row r="52" spans="1:9" ht="42.75">
      <c r="A52" s="38" t="s">
        <v>38</v>
      </c>
      <c r="B52" s="35">
        <v>91926</v>
      </c>
      <c r="C52" s="24" t="s">
        <v>50</v>
      </c>
      <c r="D52" s="23" t="s">
        <v>26</v>
      </c>
      <c r="E52" s="39">
        <v>12.6</v>
      </c>
      <c r="F52" s="12">
        <v>2.57</v>
      </c>
      <c r="G52" s="12">
        <f t="shared" si="5"/>
        <v>32.381999999999998</v>
      </c>
    </row>
    <row r="53" spans="1:9" ht="28.5">
      <c r="A53" s="34" t="s">
        <v>38</v>
      </c>
      <c r="B53" s="35">
        <v>90436</v>
      </c>
      <c r="C53" s="36" t="s">
        <v>44</v>
      </c>
      <c r="D53" s="34" t="s">
        <v>36</v>
      </c>
      <c r="E53" s="37">
        <v>1</v>
      </c>
      <c r="F53" s="11">
        <v>12</v>
      </c>
      <c r="G53" s="12">
        <f t="shared" si="5"/>
        <v>12</v>
      </c>
    </row>
    <row r="54" spans="1:9" ht="42.75">
      <c r="A54" s="34"/>
      <c r="B54" s="35" t="s">
        <v>69</v>
      </c>
      <c r="C54" s="36" t="s">
        <v>70</v>
      </c>
      <c r="D54" s="34" t="s">
        <v>36</v>
      </c>
      <c r="E54" s="37">
        <v>1</v>
      </c>
      <c r="F54" s="12">
        <v>11.97</v>
      </c>
      <c r="G54" s="12">
        <f t="shared" si="5"/>
        <v>11.97</v>
      </c>
    </row>
    <row r="55" spans="1:9" ht="42.75">
      <c r="A55" s="34"/>
      <c r="B55" s="35" t="s">
        <v>67</v>
      </c>
      <c r="C55" s="36" t="s">
        <v>68</v>
      </c>
      <c r="D55" s="34" t="s">
        <v>36</v>
      </c>
      <c r="E55" s="37">
        <v>1</v>
      </c>
      <c r="F55" s="12">
        <v>24.75</v>
      </c>
      <c r="G55" s="12">
        <f t="shared" si="5"/>
        <v>24.75</v>
      </c>
    </row>
    <row r="56" spans="1:9" ht="15" customHeight="1">
      <c r="A56" s="158" t="s">
        <v>49</v>
      </c>
      <c r="B56" s="159"/>
      <c r="C56" s="159"/>
      <c r="D56" s="159"/>
      <c r="E56" s="159"/>
      <c r="F56" s="160"/>
      <c r="G56" s="30">
        <f>SUM(G50:G55)</f>
        <v>104.08</v>
      </c>
    </row>
    <row r="59" spans="1:9" ht="75">
      <c r="A59" s="28" t="s">
        <v>34</v>
      </c>
      <c r="B59" s="28" t="s">
        <v>74</v>
      </c>
      <c r="C59" s="29" t="s">
        <v>75</v>
      </c>
      <c r="D59" s="28" t="s">
        <v>36</v>
      </c>
      <c r="E59" s="164" t="s">
        <v>37</v>
      </c>
      <c r="F59" s="165"/>
      <c r="G59" s="166"/>
    </row>
    <row r="60" spans="1:9" ht="42.75">
      <c r="A60" s="34" t="s">
        <v>38</v>
      </c>
      <c r="B60" s="35">
        <v>95726</v>
      </c>
      <c r="C60" s="36" t="s">
        <v>42</v>
      </c>
      <c r="D60" s="34" t="s">
        <v>26</v>
      </c>
      <c r="E60" s="37">
        <v>2</v>
      </c>
      <c r="F60" s="12">
        <v>4.46</v>
      </c>
      <c r="G60" s="12">
        <f>F60*E60</f>
        <v>8.92</v>
      </c>
    </row>
    <row r="61" spans="1:9" ht="42.75">
      <c r="A61" s="34" t="s">
        <v>38</v>
      </c>
      <c r="B61" s="35">
        <v>95729</v>
      </c>
      <c r="C61" s="36" t="s">
        <v>42</v>
      </c>
      <c r="D61" s="34" t="s">
        <v>26</v>
      </c>
      <c r="E61" s="37">
        <v>2.2000000000000002</v>
      </c>
      <c r="F61" s="12">
        <v>6.39</v>
      </c>
      <c r="G61" s="12">
        <f>F61*E61</f>
        <v>14.058</v>
      </c>
    </row>
    <row r="62" spans="1:9" ht="42.75">
      <c r="A62" s="38" t="s">
        <v>38</v>
      </c>
      <c r="B62" s="35">
        <v>91926</v>
      </c>
      <c r="C62" s="24" t="s">
        <v>50</v>
      </c>
      <c r="D62" s="23" t="s">
        <v>26</v>
      </c>
      <c r="E62" s="39">
        <v>8</v>
      </c>
      <c r="F62" s="12">
        <v>2.57</v>
      </c>
      <c r="G62" s="12">
        <f>F62*E62</f>
        <v>20.56</v>
      </c>
    </row>
    <row r="63" spans="1:9" ht="28.5">
      <c r="A63" s="34" t="s">
        <v>38</v>
      </c>
      <c r="B63" s="35">
        <v>90436</v>
      </c>
      <c r="C63" s="36" t="s">
        <v>44</v>
      </c>
      <c r="D63" s="34" t="s">
        <v>36</v>
      </c>
      <c r="E63" s="37">
        <v>1</v>
      </c>
      <c r="F63" s="11">
        <v>12</v>
      </c>
      <c r="G63" s="12">
        <f>F63*E63</f>
        <v>12</v>
      </c>
      <c r="I63" s="15"/>
    </row>
    <row r="64" spans="1:9" ht="42.75">
      <c r="A64" s="23" t="s">
        <v>38</v>
      </c>
      <c r="B64" s="23" t="s">
        <v>58</v>
      </c>
      <c r="C64" s="24" t="s">
        <v>60</v>
      </c>
      <c r="D64" s="23" t="s">
        <v>36</v>
      </c>
      <c r="E64" s="25">
        <v>1</v>
      </c>
      <c r="F64" s="13">
        <v>11.97</v>
      </c>
      <c r="G64" s="12">
        <f>F64*E64</f>
        <v>11.97</v>
      </c>
      <c r="I64" s="15"/>
    </row>
    <row r="65" spans="1:7">
      <c r="A65" s="158" t="s">
        <v>49</v>
      </c>
      <c r="B65" s="159"/>
      <c r="C65" s="159"/>
      <c r="D65" s="159"/>
      <c r="E65" s="159"/>
      <c r="F65" s="160"/>
      <c r="G65" s="30">
        <f>SUM(G60:G64)</f>
        <v>67.507999999999996</v>
      </c>
    </row>
  </sheetData>
  <mergeCells count="14">
    <mergeCell ref="A65:F65"/>
    <mergeCell ref="E1:G1"/>
    <mergeCell ref="E11:G11"/>
    <mergeCell ref="A10:F10"/>
    <mergeCell ref="A19:F19"/>
    <mergeCell ref="E59:G59"/>
    <mergeCell ref="A47:F47"/>
    <mergeCell ref="E49:G49"/>
    <mergeCell ref="A56:F56"/>
    <mergeCell ref="E22:G22"/>
    <mergeCell ref="A29:F29"/>
    <mergeCell ref="E31:G31"/>
    <mergeCell ref="A38:F38"/>
    <mergeCell ref="E40:G40"/>
  </mergeCells>
  <pageMargins left="0.511811024" right="0.511811024" top="0.78740157499999996" bottom="0.78740157499999996" header="0.31496062000000002" footer="0.31496062000000002"/>
  <pageSetup paperSize="9" scale="6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M6" sqref="M6"/>
    </sheetView>
  </sheetViews>
  <sheetFormatPr defaultRowHeight="15"/>
  <cols>
    <col min="1" max="1" width="14.85546875" style="9" bestFit="1" customWidth="1"/>
    <col min="2" max="2" width="9.140625" style="9"/>
    <col min="3" max="3" width="9.7109375" customWidth="1"/>
    <col min="4" max="4" width="14.85546875" style="9" bestFit="1" customWidth="1"/>
    <col min="5" max="5" width="9.7109375" style="9" customWidth="1"/>
    <col min="6" max="6" width="11.42578125" style="9" customWidth="1"/>
    <col min="7" max="7" width="14.85546875" style="9" bestFit="1" customWidth="1"/>
    <col min="8" max="8" width="11.42578125" style="9" customWidth="1"/>
    <col min="9" max="9" width="10.85546875" style="9" customWidth="1"/>
    <col min="11" max="11" width="10" bestFit="1" customWidth="1"/>
    <col min="13" max="13" width="11" customWidth="1"/>
  </cols>
  <sheetData>
    <row r="1" spans="1:13" s="48" customFormat="1" ht="15.75" thickBot="1">
      <c r="A1" s="170" t="s">
        <v>168</v>
      </c>
      <c r="B1" s="171"/>
      <c r="C1" s="171"/>
      <c r="D1" s="171"/>
      <c r="E1" s="171"/>
      <c r="F1" s="171"/>
      <c r="G1" s="171"/>
      <c r="H1" s="171"/>
      <c r="I1" s="172"/>
    </row>
    <row r="2" spans="1:13" ht="15.75" thickBot="1">
      <c r="A2" s="167" t="s">
        <v>162</v>
      </c>
      <c r="B2" s="168"/>
      <c r="C2" s="169"/>
      <c r="D2" s="167" t="s">
        <v>285</v>
      </c>
      <c r="E2" s="168"/>
      <c r="F2" s="169"/>
      <c r="G2" s="170" t="s">
        <v>163</v>
      </c>
      <c r="H2" s="171"/>
      <c r="I2" s="172"/>
      <c r="K2" s="173" t="s">
        <v>172</v>
      </c>
      <c r="L2" s="173"/>
      <c r="M2" s="173"/>
    </row>
    <row r="3" spans="1:13" ht="15.75" thickBot="1">
      <c r="A3" s="57" t="s">
        <v>165</v>
      </c>
      <c r="B3" s="58" t="s">
        <v>164</v>
      </c>
      <c r="C3" s="59" t="s">
        <v>166</v>
      </c>
      <c r="D3" s="57" t="s">
        <v>165</v>
      </c>
      <c r="E3" s="58" t="s">
        <v>164</v>
      </c>
      <c r="F3" s="60" t="s">
        <v>166</v>
      </c>
      <c r="G3" s="57" t="s">
        <v>165</v>
      </c>
      <c r="H3" s="58" t="s">
        <v>164</v>
      </c>
      <c r="I3" s="60" t="s">
        <v>166</v>
      </c>
      <c r="J3" s="48">
        <v>88423</v>
      </c>
      <c r="K3" s="63" t="s">
        <v>169</v>
      </c>
      <c r="L3">
        <v>14.82</v>
      </c>
      <c r="M3" s="9">
        <f>I18*L3</f>
        <v>804.28139999999996</v>
      </c>
    </row>
    <row r="4" spans="1:13">
      <c r="A4" s="49">
        <f>0.2*3</f>
        <v>0.60000000000000009</v>
      </c>
      <c r="B4" s="50">
        <v>3.3</v>
      </c>
      <c r="C4" s="51">
        <f t="shared" ref="C4:C5" si="0">A4*B4</f>
        <v>1.9800000000000002</v>
      </c>
      <c r="D4" s="49">
        <v>6.3</v>
      </c>
      <c r="E4" s="50">
        <v>3</v>
      </c>
      <c r="F4" s="52">
        <f t="shared" ref="F4:F7" si="1">D4*E4</f>
        <v>18.899999999999999</v>
      </c>
      <c r="G4" s="49"/>
      <c r="H4" s="50"/>
      <c r="I4" s="52"/>
      <c r="J4" s="48" t="s">
        <v>173</v>
      </c>
      <c r="K4" s="64" t="s">
        <v>170</v>
      </c>
      <c r="L4" s="9">
        <f>5.02*1.0589</f>
        <v>5.3156779999999992</v>
      </c>
      <c r="M4" s="9">
        <f>I18*L4</f>
        <v>288.48184505999996</v>
      </c>
    </row>
    <row r="5" spans="1:13">
      <c r="A5" s="49">
        <f>0.2*3</f>
        <v>0.60000000000000009</v>
      </c>
      <c r="B5" s="50">
        <f>0.4*2</f>
        <v>0.8</v>
      </c>
      <c r="C5" s="52">
        <f t="shared" si="0"/>
        <v>0.48000000000000009</v>
      </c>
      <c r="D5" s="49">
        <v>6.3</v>
      </c>
      <c r="E5" s="50">
        <v>3</v>
      </c>
      <c r="F5" s="52">
        <f t="shared" si="1"/>
        <v>18.899999999999999</v>
      </c>
      <c r="G5" s="49"/>
      <c r="H5" s="50"/>
      <c r="I5" s="52"/>
      <c r="J5" s="48">
        <v>88415</v>
      </c>
      <c r="K5" s="64" t="s">
        <v>171</v>
      </c>
      <c r="L5">
        <v>2.2200000000000002</v>
      </c>
      <c r="M5" s="9">
        <f>I18*L5</f>
        <v>120.4794</v>
      </c>
    </row>
    <row r="6" spans="1:13">
      <c r="A6" s="49"/>
      <c r="B6" s="50"/>
      <c r="C6" s="52"/>
      <c r="D6" s="49">
        <v>4</v>
      </c>
      <c r="E6" s="50">
        <v>3</v>
      </c>
      <c r="F6" s="52">
        <f t="shared" si="1"/>
        <v>12</v>
      </c>
      <c r="G6" s="49"/>
      <c r="H6" s="50"/>
      <c r="I6" s="52"/>
      <c r="L6" s="48" t="s">
        <v>166</v>
      </c>
      <c r="M6" s="9">
        <f>SUM(M3,M4,M5)</f>
        <v>1213.2426450599999</v>
      </c>
    </row>
    <row r="7" spans="1:13">
      <c r="A7" s="49"/>
      <c r="B7" s="50"/>
      <c r="C7" s="52"/>
      <c r="D7" s="49">
        <v>4</v>
      </c>
      <c r="E7" s="50">
        <v>3</v>
      </c>
      <c r="F7" s="52">
        <f t="shared" si="1"/>
        <v>12</v>
      </c>
      <c r="G7" s="49"/>
      <c r="H7" s="50"/>
      <c r="I7" s="52"/>
    </row>
    <row r="8" spans="1:13">
      <c r="A8" s="49"/>
      <c r="B8" s="50"/>
      <c r="C8" s="52"/>
      <c r="D8" s="49"/>
      <c r="E8" s="50"/>
      <c r="F8" s="52"/>
      <c r="G8" s="49"/>
      <c r="H8" s="50"/>
      <c r="I8" s="52"/>
    </row>
    <row r="9" spans="1:13">
      <c r="A9" s="49"/>
      <c r="B9" s="50"/>
      <c r="C9" s="52"/>
      <c r="D9" s="49"/>
      <c r="E9" s="50"/>
      <c r="F9" s="52"/>
      <c r="G9" s="49"/>
      <c r="H9" s="50"/>
      <c r="I9" s="52"/>
    </row>
    <row r="10" spans="1:13">
      <c r="A10" s="49"/>
      <c r="B10" s="50"/>
      <c r="C10" s="52"/>
      <c r="D10" s="49"/>
      <c r="E10" s="50"/>
      <c r="F10" s="52"/>
      <c r="G10" s="49"/>
      <c r="H10" s="50"/>
      <c r="I10" s="52"/>
    </row>
    <row r="11" spans="1:13">
      <c r="A11" s="49"/>
      <c r="B11" s="50"/>
      <c r="C11" s="51"/>
      <c r="D11" s="49"/>
      <c r="E11" s="50"/>
      <c r="F11" s="52"/>
      <c r="G11" s="49"/>
      <c r="H11" s="50"/>
      <c r="I11" s="52"/>
    </row>
    <row r="12" spans="1:13">
      <c r="A12" s="49"/>
      <c r="B12" s="50"/>
      <c r="C12" s="51"/>
      <c r="D12" s="49"/>
      <c r="E12" s="50"/>
      <c r="F12" s="52"/>
      <c r="G12" s="49"/>
      <c r="H12" s="50"/>
      <c r="I12" s="52"/>
    </row>
    <row r="13" spans="1:13">
      <c r="A13" s="49"/>
      <c r="B13" s="50"/>
      <c r="C13" s="51"/>
      <c r="D13" s="49"/>
      <c r="E13" s="50"/>
      <c r="F13" s="52"/>
      <c r="G13" s="49"/>
      <c r="H13" s="50"/>
      <c r="I13" s="52"/>
    </row>
    <row r="14" spans="1:13" ht="15.75" thickBot="1">
      <c r="A14" s="50"/>
      <c r="B14" s="50"/>
      <c r="C14" s="55"/>
      <c r="D14" s="50"/>
      <c r="E14" s="50"/>
      <c r="F14" s="56"/>
      <c r="G14" s="50"/>
      <c r="H14" s="50"/>
      <c r="I14" s="56"/>
    </row>
    <row r="15" spans="1:13" ht="15.75" thickBot="1">
      <c r="A15" s="54" t="s">
        <v>166</v>
      </c>
      <c r="B15" s="54"/>
      <c r="C15" s="61">
        <f>SUM(C4:C14)</f>
        <v>2.4600000000000004</v>
      </c>
      <c r="D15" s="54" t="s">
        <v>166</v>
      </c>
      <c r="E15" s="54"/>
      <c r="F15" s="62">
        <f>SUM(F4:F14)</f>
        <v>61.8</v>
      </c>
      <c r="G15" s="54" t="s">
        <v>166</v>
      </c>
      <c r="H15" s="54"/>
      <c r="I15" s="62">
        <f>SUM(I4:I14)</f>
        <v>0</v>
      </c>
    </row>
    <row r="16" spans="1:13" s="48" customFormat="1" ht="15.75" thickBot="1">
      <c r="A16" s="49">
        <v>0</v>
      </c>
      <c r="B16" s="50">
        <v>0</v>
      </c>
      <c r="C16" s="50">
        <f>SUM(A16:B16)</f>
        <v>0</v>
      </c>
      <c r="D16" s="49">
        <f>2.1*0.9*3</f>
        <v>5.67</v>
      </c>
      <c r="E16" s="50">
        <f>3.6*1.2</f>
        <v>4.32</v>
      </c>
      <c r="F16" s="52">
        <f>SUM(D16:E16)</f>
        <v>9.99</v>
      </c>
      <c r="G16" s="50"/>
      <c r="H16" s="50"/>
      <c r="I16" s="52"/>
    </row>
    <row r="17" spans="1:9" s="48" customFormat="1" ht="15.75" thickBot="1">
      <c r="A17" s="53"/>
      <c r="B17" s="54"/>
      <c r="C17" s="62">
        <f>SUM(C15-C16)</f>
        <v>2.4600000000000004</v>
      </c>
      <c r="D17" s="53"/>
      <c r="E17" s="54"/>
      <c r="F17" s="62">
        <f>SUM(F15-F16)</f>
        <v>51.809999999999995</v>
      </c>
      <c r="G17" s="54"/>
      <c r="H17" s="54"/>
      <c r="I17" s="62"/>
    </row>
    <row r="18" spans="1:9" ht="15.75" thickBot="1">
      <c r="A18" s="53"/>
      <c r="B18" s="54"/>
      <c r="C18" s="40"/>
      <c r="D18" s="54"/>
      <c r="E18" s="54"/>
      <c r="F18" s="54"/>
      <c r="G18" s="54"/>
      <c r="H18" s="54" t="s">
        <v>167</v>
      </c>
      <c r="I18" s="56">
        <f>SUM(C17,F17,I17)</f>
        <v>54.269999999999996</v>
      </c>
    </row>
  </sheetData>
  <mergeCells count="5">
    <mergeCell ref="A2:C2"/>
    <mergeCell ref="D2:F2"/>
    <mergeCell ref="G2:I2"/>
    <mergeCell ref="A1:I1"/>
    <mergeCell ref="K2:M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Plan1</vt:lpstr>
      <vt:lpstr>Plan2</vt:lpstr>
      <vt:lpstr>PINTURA</vt:lpstr>
      <vt:lpstr>Plan1!Area_de_impressao</vt:lpstr>
      <vt:lpstr>Plan2!Area_de_impressao</vt:lpstr>
      <vt:lpstr>Plan1!Titulos_de_impressao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estagioeduca01</dc:creator>
  <cp:lastModifiedBy>Michele Cristina da Silva Alves</cp:lastModifiedBy>
  <cp:lastPrinted>2018-05-30T16:03:43Z</cp:lastPrinted>
  <dcterms:created xsi:type="dcterms:W3CDTF">2018-03-13T17:21:47Z</dcterms:created>
  <dcterms:modified xsi:type="dcterms:W3CDTF">2018-05-30T16:06:16Z</dcterms:modified>
</cp:coreProperties>
</file>