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7175" windowHeight="6165"/>
  </bookViews>
  <sheets>
    <sheet name="Plan1" sheetId="1" r:id="rId1"/>
    <sheet name="Plan2" sheetId="2" r:id="rId2"/>
    <sheet name="PINTURA" sheetId="3" r:id="rId3"/>
  </sheets>
  <definedNames>
    <definedName name="_xlnm.Print_Area" localSheetId="0">Plan1!$A$1:$H$63</definedName>
    <definedName name="_xlnm.Print_Area" localSheetId="1">Plan2!$A$1:$H$18</definedName>
    <definedName name="_xlnm.Print_Titles" localSheetId="0">Plan1!$1:$6</definedName>
  </definedNames>
  <calcPr calcId="124519" concurrentCalc="0"/>
</workbook>
</file>

<file path=xl/calcChain.xml><?xml version="1.0" encoding="utf-8"?>
<calcChain xmlns="http://schemas.openxmlformats.org/spreadsheetml/2006/main">
  <c r="H52" i="1"/>
  <c r="H40"/>
  <c r="F39"/>
  <c r="G39"/>
  <c r="H39"/>
  <c r="G38"/>
  <c r="H38"/>
  <c r="G9" l="1"/>
  <c r="E9"/>
  <c r="H9"/>
  <c r="H10"/>
  <c r="F12" l="1"/>
  <c r="G12" l="1"/>
  <c r="E12"/>
  <c r="H12"/>
  <c r="F13"/>
  <c r="G13"/>
  <c r="E13"/>
  <c r="H13"/>
  <c r="H14"/>
  <c r="G16"/>
  <c r="E16"/>
  <c r="H16"/>
  <c r="F17"/>
  <c r="G17"/>
  <c r="E17"/>
  <c r="H17"/>
  <c r="F18"/>
  <c r="G18"/>
  <c r="E18" l="1"/>
  <c r="H18"/>
  <c r="F19"/>
  <c r="G19"/>
  <c r="E19"/>
  <c r="H19"/>
  <c r="H20"/>
  <c r="G22"/>
  <c r="E22"/>
  <c r="H22"/>
  <c r="F23"/>
  <c r="G23" l="1"/>
  <c r="E23"/>
  <c r="H23"/>
  <c r="H24"/>
  <c r="F26" l="1"/>
  <c r="G26"/>
  <c r="E26"/>
  <c r="H26"/>
  <c r="F27"/>
  <c r="G27"/>
  <c r="H27"/>
  <c r="H28"/>
  <c r="F30"/>
  <c r="G30"/>
  <c r="H30"/>
  <c r="F31" l="1"/>
  <c r="G31"/>
  <c r="H31"/>
  <c r="F32"/>
  <c r="G32"/>
  <c r="H32"/>
  <c r="F33"/>
  <c r="G33" l="1"/>
  <c r="H33"/>
  <c r="G34"/>
  <c r="H34"/>
  <c r="G35"/>
  <c r="H35"/>
  <c r="H36"/>
  <c r="F42"/>
  <c r="G42"/>
  <c r="E42"/>
  <c r="H42"/>
  <c r="G43"/>
  <c r="E43"/>
  <c r="H43"/>
  <c r="F44"/>
  <c r="G44"/>
  <c r="E44" l="1"/>
  <c r="H44"/>
  <c r="H45"/>
  <c r="F47" l="1"/>
  <c r="G47"/>
  <c r="H47"/>
  <c r="H48"/>
  <c r="G50"/>
  <c r="E50"/>
  <c r="H50"/>
  <c r="H51" l="1"/>
  <c r="E16" i="3"/>
  <c r="D16"/>
  <c r="C16"/>
  <c r="C17"/>
  <c r="F16"/>
  <c r="F15"/>
  <c r="F7"/>
  <c r="F6"/>
  <c r="F5"/>
  <c r="F4"/>
  <c r="B5"/>
  <c r="A4"/>
  <c r="A5"/>
  <c r="C4"/>
  <c r="C5"/>
  <c r="C15"/>
  <c r="F17"/>
  <c r="I15"/>
  <c r="I18"/>
  <c r="M3"/>
  <c r="M4"/>
  <c r="L4"/>
  <c r="M5"/>
  <c r="M6"/>
  <c r="G65" i="2"/>
  <c r="G64"/>
  <c r="G63"/>
  <c r="G62"/>
  <c r="G61"/>
  <c r="G60"/>
  <c r="G56"/>
  <c r="G55"/>
  <c r="G54"/>
  <c r="G53"/>
  <c r="G52"/>
  <c r="G51"/>
  <c r="G50"/>
  <c r="G47"/>
  <c r="G46"/>
  <c r="G45"/>
  <c r="G44"/>
  <c r="G43"/>
  <c r="G42"/>
  <c r="G41"/>
  <c r="G38"/>
  <c r="G37"/>
  <c r="G36"/>
  <c r="G35"/>
  <c r="G34"/>
  <c r="G33"/>
  <c r="G32"/>
  <c r="G29"/>
  <c r="G28"/>
  <c r="G27"/>
  <c r="G26"/>
  <c r="G25"/>
  <c r="G24"/>
  <c r="G23"/>
  <c r="G19"/>
  <c r="G18"/>
  <c r="G17"/>
  <c r="G16"/>
  <c r="G15"/>
  <c r="G14"/>
  <c r="G13"/>
  <c r="G12"/>
  <c r="G10"/>
  <c r="G9"/>
  <c r="G8"/>
  <c r="G7"/>
  <c r="G6"/>
  <c r="G5"/>
  <c r="G4"/>
  <c r="G3"/>
  <c r="G2"/>
</calcChain>
</file>

<file path=xl/sharedStrings.xml><?xml version="1.0" encoding="utf-8"?>
<sst xmlns="http://schemas.openxmlformats.org/spreadsheetml/2006/main" count="349" uniqueCount="183">
  <si>
    <t>BDI</t>
  </si>
  <si>
    <t>ITEM</t>
  </si>
  <si>
    <t>CÓDIGO</t>
  </si>
  <si>
    <t>DESCRIÇÃO</t>
  </si>
  <si>
    <t>QUANT.</t>
  </si>
  <si>
    <t>R$ UNITARIO</t>
  </si>
  <si>
    <t>R$ UNIT.C/BDI</t>
  </si>
  <si>
    <t xml:space="preserve">PREÇO TOTAL </t>
  </si>
  <si>
    <t>1.</t>
  </si>
  <si>
    <t>1.1</t>
  </si>
  <si>
    <t>ESQUADRIAS</t>
  </si>
  <si>
    <t>UNID.</t>
  </si>
  <si>
    <t>2.</t>
  </si>
  <si>
    <t>2.1</t>
  </si>
  <si>
    <t>TOTAL GERAL</t>
  </si>
  <si>
    <t>2.2</t>
  </si>
  <si>
    <t>3.</t>
  </si>
  <si>
    <t>3.1</t>
  </si>
  <si>
    <t>4.</t>
  </si>
  <si>
    <t>4.1</t>
  </si>
  <si>
    <t>5.</t>
  </si>
  <si>
    <t>5.1</t>
  </si>
  <si>
    <t>6.</t>
  </si>
  <si>
    <t>6.1</t>
  </si>
  <si>
    <t>M</t>
  </si>
  <si>
    <t>7.</t>
  </si>
  <si>
    <t>7.1</t>
  </si>
  <si>
    <t>PREFEITURA MUNICIPAL DE GASPAR</t>
  </si>
  <si>
    <t>Secretaria Municipal de Educação</t>
  </si>
  <si>
    <t>INSTALAÇÕES ELÉTRICAS</t>
  </si>
  <si>
    <t>LIMPEZA DA OBRA</t>
  </si>
  <si>
    <t>8.1</t>
  </si>
  <si>
    <t>INEL</t>
  </si>
  <si>
    <t>COMP 02</t>
  </si>
  <si>
    <t>UN</t>
  </si>
  <si>
    <t/>
  </si>
  <si>
    <t>COMPOSICAO</t>
  </si>
  <si>
    <t>CABO DE COBRE FLEXÍVEL ISOLADO, 4,0 MM², ANTI-CHAMA 450/750 V, PARA CIRCUITOS TERMINAIS - FORNECIMENTO E INSTALAÇÃO. AF_12/2015</t>
  </si>
  <si>
    <t>DISJUNTOR BIPOLAR TIPO DIN, CORRENTE NOMINAL DE 25A - FORNECIMENTO E INSTALAÇÃO. AF_04/2016</t>
  </si>
  <si>
    <t>COMP. 01</t>
  </si>
  <si>
    <t>ELETRODUTO RÍGIDO SOLDÁVEL, PVC, DN 20 MM (½), APARENTE, INSTALADO EM TETO - FORNECIMENTO E INSTALAÇÃO. AF_11/2016_P</t>
  </si>
  <si>
    <t>CABO DE COBRE FLEXÍVEL ISOLADO, 6,0 MM², ANTI-CHAMA 450/750 V, PARA CIRCUITOS TERMINAIS - FORNECIMENTO E INSTALAÇÃO. AF_12/2015</t>
  </si>
  <si>
    <t>FURO EM ALVENARIA PARA DIÂMETROS MENORES OU IGUAIS A 40 MM. AF_05/2015</t>
  </si>
  <si>
    <t>INSUMO</t>
  </si>
  <si>
    <t>TAMPA CEGA EM PVC PARA CONDULETE 4 X 2"</t>
  </si>
  <si>
    <t>IPPUJ C10.76.10.05.200</t>
  </si>
  <si>
    <t>TOMADA SOBREPOR BLINDADA 32A/440V 3P+T PARA FORNO ELÉTRICO INDUSTRIAL COM TAMPA, VER MEMORIAL</t>
  </si>
  <si>
    <t>TOTAL DA COMPOSIÇÃO</t>
  </si>
  <si>
    <t>CABO DE COBRE FLEXÍVEL ISOLADO, 2,5 MM², ANTI-CHAMA 450/750 V, PARA CIRCUITOS TERMINAIS - FORNECIMENTO E INSTALAÇÃO. AF_12/2015</t>
  </si>
  <si>
    <t>COMP. 03</t>
  </si>
  <si>
    <t>PONTO DE TOMADA RESIDENCIAL INCLUINDO TOMADA TRIFÁSICA 32A/440V 3P+T , DISJUNTOR 40A CONDULETE ADEQUADO, ELETRODUTO RÍGIDO, CABO 6 MM², FURO NO TETO, E INSTALAÇÃO. AF_01/2016</t>
  </si>
  <si>
    <t>DISJUNTOR BIPOLAR TIPO DIN, CORRENTE NOMINAL DE 40A - FORNECIMENTO E INSTALAÇÃO. AF_04/2016</t>
  </si>
  <si>
    <t>CONDULETE EM PVC, TIPO "B", SEM TAMPA, DE 1/2"</t>
  </si>
  <si>
    <t xml:space="preserve">TAMPA PARA CONDULETE, EM PVC, COM TOMADA HEXAGONAL </t>
  </si>
  <si>
    <t>IPPUJ I21.05.05.30.0317</t>
  </si>
  <si>
    <t>Tomada 2P+T hexagonal NBR 14136, embutir 20A/220V, c/
placa</t>
  </si>
  <si>
    <t xml:space="preserve">IPPUJ C10.76.10.20.023 </t>
  </si>
  <si>
    <t>TOMADA MÉDIA DE EMBUTIR (2 MÓDULOS), 2P+T 20 A, INCLUINDO SUPORTE E PLACA - FORNECIMENTO E INSTALAÇÃO. AF_12/2015</t>
  </si>
  <si>
    <t xml:space="preserve">Condulete tipo C pvc cinza de encaixe 3/4" s/ tampa
(inclusive parafusos e buchas) </t>
  </si>
  <si>
    <t>IPPUJ C10.76.10.20.026</t>
  </si>
  <si>
    <t>Condulete tipo LR pvc cinza de encaixe 3/4" s/ tampa
(inclusive parafusos e buchas)</t>
  </si>
  <si>
    <t xml:space="preserve">PONTO DE TOMADA RESIDENCIAL INCLUINDO TOMADA 20A/250V,CONDULETES, ELETRODUTO RÍGIDO, CABO DE COBRE, FURO NO TETO, E INSTALAÇÃO COMPLETA. </t>
  </si>
  <si>
    <t>COMP. 04</t>
  </si>
  <si>
    <t>COMP. 05</t>
  </si>
  <si>
    <t>COMP. 06</t>
  </si>
  <si>
    <t>IPPUJ C10.76.10.05.175</t>
  </si>
  <si>
    <t xml:space="preserve"> 2 Tomadas 2P+T 10a/250v, c/tampa para condulete pvc
cinza de encaixe 3/4".</t>
  </si>
  <si>
    <t>IPPUJ C10.76.10.20.025</t>
  </si>
  <si>
    <t>Condulete tipo LL pvc cinza de encaixe 3/4" s/ tampa
(inclusive parafusos e buchas)</t>
  </si>
  <si>
    <t>IPPUJ I21.05.05.30.0031</t>
  </si>
  <si>
    <t>1 Interruptor paralelo e 1 tomada 2P+T hexagonal NBR 14136,10a/250v embutir, c/ placa.</t>
  </si>
  <si>
    <t xml:space="preserve">PONTO DE ILUMINAÇÃO E TOMADA RESIDENCIAL, INCLUINDO INTERRUPTOR PARALELO E TOMADA 10A/250V,CONDULETES, ELETRODUTO RÍGIDO, CABO DE COBRE, FURO NO TETO, E INSTALAÇÃO COMPLETA. </t>
  </si>
  <si>
    <t>COMP. 07</t>
  </si>
  <si>
    <t>PONTO ELÉTRICO PARA VENTILADOR DE PAREDE  INCLUINDO CAIXA DE LIGAÇÃO 10A/250V,CONDULETES, ELETRODUTO RÍGIDO, CABO DE COBRE, FURO NO TETO, E INSTALAÇÃO COMPLETA. *</t>
  </si>
  <si>
    <t xml:space="preserve">IPPUJ C10.76.10.05.155 </t>
  </si>
  <si>
    <t>2 Interruptores paralelos e 1 tomada 2P+T hexagonal NBR
14136, 10A/220V embutir, c/ placa. 22,05</t>
  </si>
  <si>
    <t xml:space="preserve">PONTO DE ILUMINAÇÃO E TOMADA RESIDENCIAL INCLUINDO INTERRUPTOR PARALELO E SIMPLES, TOMADA 10A/250V,CONDULETES, ELETRODUTO RÍGIDO, CABO DE COBRE, FURO NO TETO, E INSTALAÇÃO COMPLETA. </t>
  </si>
  <si>
    <t>PONTO DE TOMADA RESIDENCIAL INCLUINDO TOMADA 20A/250V, CAIXA ELÉTRICA, CONDULETES, ELETRODUTO RÍGIDO, FURO NO TETO, CABO DE COBRE DE 4MM², DISJUNTOR 25A E INSTALAÇÃO COMPLETA.  (TOMADA PARA A MÁQUINA DE FAZER PÃO)</t>
  </si>
  <si>
    <t>un</t>
  </si>
  <si>
    <t>m²</t>
  </si>
  <si>
    <t>Total no item 1</t>
  </si>
  <si>
    <t>Total no item 2</t>
  </si>
  <si>
    <t>Total no item 3</t>
  </si>
  <si>
    <t>SERVIÇOS PRELIMINARES</t>
  </si>
  <si>
    <t>FORRO</t>
  </si>
  <si>
    <t>SINAPI 85424</t>
  </si>
  <si>
    <t>Forro térmico de fibra mineral, removível, 15x625x625mm. Com perfis metálicos e acessórios, instalado.</t>
  </si>
  <si>
    <t>ANDAIME</t>
  </si>
  <si>
    <t>m³</t>
  </si>
  <si>
    <t>Andaime metálico modular de 1,5X1,00 de até 8m.</t>
  </si>
  <si>
    <t>loc/mês</t>
  </si>
  <si>
    <t>IPPUJ C25.41.05.05.005</t>
  </si>
  <si>
    <t>Total no item 6</t>
  </si>
  <si>
    <t>ALVENARIA</t>
  </si>
  <si>
    <t>PÁTIO</t>
  </si>
  <si>
    <t>BANHEIROS</t>
  </si>
  <si>
    <t>ALTURA</t>
  </si>
  <si>
    <t>COMPRIMENTO</t>
  </si>
  <si>
    <t>TOTAL</t>
  </si>
  <si>
    <t xml:space="preserve">TOTAL </t>
  </si>
  <si>
    <t>PINTURA</t>
  </si>
  <si>
    <t>pintura</t>
  </si>
  <si>
    <t>lixamento</t>
  </si>
  <si>
    <t>selador</t>
  </si>
  <si>
    <t>CUSTO</t>
  </si>
  <si>
    <t>D 42780</t>
  </si>
  <si>
    <t>SINAPI 88415</t>
  </si>
  <si>
    <t>Limpeza de alvenaria para pintura.</t>
  </si>
  <si>
    <t>Total no item 7</t>
  </si>
  <si>
    <t>8.</t>
  </si>
  <si>
    <t>SINAPI 9537</t>
  </si>
  <si>
    <t>DEINFRA 42780</t>
  </si>
  <si>
    <t>IPPUJ C10.52.25.05.005</t>
  </si>
  <si>
    <t>IPPUJ C10.48.05.20.001</t>
  </si>
  <si>
    <t>EDMUNDO DE J. ARAUJO JUNIOR</t>
  </si>
  <si>
    <t>Engenheiro Civil/CREA 053.875-8</t>
  </si>
  <si>
    <t xml:space="preserve">Nota: Valores em reais.                                                                                                                                                                      </t>
  </si>
  <si>
    <t>INTERNO</t>
  </si>
  <si>
    <t>Aplicação manual de fundo selador acrílico em paredes.</t>
  </si>
  <si>
    <t>ORÇAMENTO</t>
  </si>
  <si>
    <t>6.2</t>
  </si>
  <si>
    <t>6.3</t>
  </si>
  <si>
    <t>Total no item 8</t>
  </si>
  <si>
    <t>SINAPI 94569</t>
  </si>
  <si>
    <t xml:space="preserve">Janela de alumínio maxim-ar, fixação com parafuso sobre contramarco, com vidros. 0,80x1,20m. </t>
  </si>
  <si>
    <t>IPPUJ C10.56.15.10.020</t>
  </si>
  <si>
    <t xml:space="preserve">Pintura interna e externa, com tinta látex acrílica, 2 demãos, na cor existente, rendimento 0,16 litros/m². </t>
  </si>
  <si>
    <t>IPPUJ C20.05.15.15.010</t>
  </si>
  <si>
    <t>IPPUJ C30.50.15.05.005</t>
  </si>
  <si>
    <t>Remoção de luminárias, de forma manual, sem reaproveitamento.</t>
  </si>
  <si>
    <t>dia</t>
  </si>
  <si>
    <t>5.2</t>
  </si>
  <si>
    <t>MERCADO</t>
  </si>
  <si>
    <t>Instalação lúminarias Plafon LED 25w, de sobrepor, branco frio. (Fornecimento e instalação).</t>
  </si>
  <si>
    <t>IPPUJ C15.15.05.58.005</t>
  </si>
  <si>
    <t>Manutençao e readequação com substituição de dijuntores (Iluminação-DIN 10, 15 ou 20A).</t>
  </si>
  <si>
    <t>Manutenção e adequação da fiação elétrica, com reaproveitamento (Fornecimento de fiação para substituição).</t>
  </si>
  <si>
    <t>4.2</t>
  </si>
  <si>
    <t>IPPUJ C20.05.05.20.015</t>
  </si>
  <si>
    <t>Remoção de forro de madeira, sem reaproveitamento.</t>
  </si>
  <si>
    <t>7.2</t>
  </si>
  <si>
    <t>9.</t>
  </si>
  <si>
    <t>9.1</t>
  </si>
  <si>
    <t>3.2</t>
  </si>
  <si>
    <t>IPPUJ C10.68.20.05.040</t>
  </si>
  <si>
    <t>Porta de vidro temperado jateado, esp.: 10 mm, instalada com fechadura e acessórios.</t>
  </si>
  <si>
    <t>Ar condicionado split 18000 btus, quente e frio, instalado.</t>
  </si>
  <si>
    <t>REVESTIMENTO</t>
  </si>
  <si>
    <t>IPPUJ C10.48.10.05.005</t>
  </si>
  <si>
    <t>Piso cerâmico branco, padrão comercial 41X41 cm, antiderrapante, assentado sobre argamassa colante pré-fabricada.</t>
  </si>
  <si>
    <t>IPPUJ C10.44.15.15.015</t>
  </si>
  <si>
    <t>IPPUJ C10.44.15.20.005</t>
  </si>
  <si>
    <t>m</t>
  </si>
  <si>
    <t>Local: Rua Bonifácio Haendchen, 4.390 - Bairro: Belchior Alto</t>
  </si>
  <si>
    <t>3.3</t>
  </si>
  <si>
    <t>Total no item 4</t>
  </si>
  <si>
    <t>Total  no item 5</t>
  </si>
  <si>
    <t>6.4</t>
  </si>
  <si>
    <t>8.2</t>
  </si>
  <si>
    <t>8.3</t>
  </si>
  <si>
    <t>10.</t>
  </si>
  <si>
    <t>10.1</t>
  </si>
  <si>
    <t>Total no item 10</t>
  </si>
  <si>
    <t>Ponto elétrico, incluindo suporte e placa, caixa elétrica,eletroduto, cabo, rasgo, quebra e chumbamento, com fiação mínima de 4mm.</t>
  </si>
  <si>
    <t>SINAPI 93144</t>
  </si>
  <si>
    <t>6.5</t>
  </si>
  <si>
    <t>COMPLEMENTOS</t>
  </si>
  <si>
    <t>Execução da obra: 120 dias.</t>
  </si>
  <si>
    <t>Rodapé cerâmico padrão alto 0,8x8,0cm, antiderrapante, assentado sobre argamassa colante pré-fabricada.</t>
  </si>
  <si>
    <t>Limpeza final da obra.</t>
  </si>
  <si>
    <t>3.4</t>
  </si>
  <si>
    <t>SINAPI 97633</t>
  </si>
  <si>
    <t>Remoção de revestimento cerâmico manualmente, sem reaproveitamento.</t>
  </si>
  <si>
    <t>Demolição de alvenaria sem reaproveitamento, para abertura de janela.</t>
  </si>
  <si>
    <t>Reboco, argamassa traço 1:2:8 (cimento, cal e areia sem peneirar), preparo manual, para acabamento da abertura de janela.</t>
  </si>
  <si>
    <t>Azulejo branco, padrão alto 20X25 cm, assentado sobre argamassa colante pré-fabricada, instalado, h:1,50m.</t>
  </si>
  <si>
    <t>Sinalização e isolamento de obra com tela plástica com malha de 5mm e estrutura de madeira pontaleteada, (reutilização/ localização móvel).</t>
  </si>
  <si>
    <t>Revisão/ manutenção global das instalações elétricas da edificicação existente (com substituição caso necessário)</t>
  </si>
  <si>
    <t>6.6</t>
  </si>
  <si>
    <t>IPPUJ C20.05.10.50.017</t>
  </si>
  <si>
    <t>OBRA: REFORMA - CDI Irmã Cecília Venturi</t>
  </si>
  <si>
    <t xml:space="preserve">Gaspar, 03 de julho de 2018.                                                                                                                                                                     </t>
  </si>
  <si>
    <t>Instalação de climatização (7.000BTU's a 36.000 BTU's),incluso kit de materiais [tubos de cobre flexível de 1/4" a 1/2", isolamento térmico, cabo pp com (4x1,5)mm, flanges, porcas; drenos e demais acessórios,exceto aparelhos de ar condicionado e fornecimento. Incluso instalação de disjuntor termomagnético 1P - 25A, 3kA/220V, DIN.</t>
  </si>
</sst>
</file>

<file path=xl/styles.xml><?xml version="1.0" encoding="utf-8"?>
<styleSheet xmlns="http://schemas.openxmlformats.org/spreadsheetml/2006/main">
  <numFmts count="1">
    <numFmt numFmtId="164" formatCode="#,##0.00\ ;\-#,##0.00\ ;&quot; -&quot;#\ ;@\ 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Courier"/>
      <family val="3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31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0" tint="-0.249977111117893"/>
        <bgColor indexed="8"/>
      </patternFill>
    </fill>
    <fill>
      <patternFill patternType="solid">
        <fgColor theme="0" tint="-0.34998626667073579"/>
        <bgColor indexed="4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/>
    <xf numFmtId="0" fontId="6" fillId="0" borderId="0"/>
  </cellStyleXfs>
  <cellXfs count="167">
    <xf numFmtId="0" fontId="0" fillId="0" borderId="0" xfId="0"/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2" fontId="0" fillId="0" borderId="0" xfId="0" applyNumberFormat="1"/>
    <xf numFmtId="0" fontId="0" fillId="0" borderId="0" xfId="0"/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/>
    <xf numFmtId="4" fontId="0" fillId="0" borderId="0" xfId="0" applyNumberFormat="1"/>
    <xf numFmtId="0" fontId="7" fillId="9" borderId="1" xfId="6" applyFont="1" applyFill="1" applyBorder="1" applyAlignment="1">
      <alignment horizontal="center" vertical="center" wrapText="1"/>
    </xf>
    <xf numFmtId="0" fontId="7" fillId="9" borderId="1" xfId="6" applyNumberFormat="1" applyFont="1" applyFill="1" applyBorder="1" applyAlignment="1">
      <alignment horizontal="center" vertical="center" wrapText="1"/>
    </xf>
    <xf numFmtId="0" fontId="7" fillId="9" borderId="1" xfId="6" applyFont="1" applyFill="1" applyBorder="1" applyAlignment="1">
      <alignment horizontal="left" vertical="center" wrapText="1"/>
    </xf>
    <xf numFmtId="4" fontId="7" fillId="9" borderId="1" xfId="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7" borderId="1" xfId="6" applyFont="1" applyFill="1" applyBorder="1" applyAlignment="1">
      <alignment horizontal="center" vertical="center" wrapText="1"/>
    </xf>
    <xf numFmtId="0" fontId="8" fillId="7" borderId="1" xfId="6" applyFont="1" applyFill="1" applyBorder="1" applyAlignment="1">
      <alignment horizontal="left" vertical="center" wrapText="1"/>
    </xf>
    <xf numFmtId="2" fontId="8" fillId="7" borderId="1" xfId="6" applyNumberFormat="1" applyFont="1" applyFill="1" applyBorder="1" applyAlignment="1">
      <alignment horizontal="center" vertical="center" wrapText="1"/>
    </xf>
    <xf numFmtId="0" fontId="7" fillId="7" borderId="1" xfId="6" applyFont="1" applyFill="1" applyBorder="1" applyAlignment="1">
      <alignment horizontal="center" vertical="center" wrapText="1"/>
    </xf>
    <xf numFmtId="0" fontId="7" fillId="7" borderId="1" xfId="6" applyFont="1" applyFill="1" applyBorder="1" applyAlignment="1">
      <alignment horizontal="left" vertical="center" wrapText="1"/>
    </xf>
    <xf numFmtId="0" fontId="7" fillId="8" borderId="1" xfId="6" applyFont="1" applyFill="1" applyBorder="1" applyAlignment="1">
      <alignment horizontal="center" vertical="center" wrapText="1"/>
    </xf>
    <xf numFmtId="0" fontId="7" fillId="8" borderId="1" xfId="6" applyFont="1" applyFill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0" xfId="0" applyFont="1" applyBorder="1" applyAlignment="1">
      <alignment horizontal="left" vertical="center" wrapText="1"/>
    </xf>
    <xf numFmtId="2" fontId="5" fillId="0" borderId="0" xfId="0" applyNumberFormat="1" applyFont="1" applyBorder="1" applyAlignment="1">
      <alignment horizontal="center" vertical="center"/>
    </xf>
    <xf numFmtId="0" fontId="8" fillId="9" borderId="1" xfId="6" applyFont="1" applyFill="1" applyBorder="1" applyAlignment="1">
      <alignment horizontal="center" vertical="center" wrapText="1"/>
    </xf>
    <xf numFmtId="0" fontId="8" fillId="9" borderId="1" xfId="6" applyNumberFormat="1" applyFont="1" applyFill="1" applyBorder="1" applyAlignment="1">
      <alignment horizontal="center" vertical="center" wrapText="1"/>
    </xf>
    <xf numFmtId="0" fontId="8" fillId="9" borderId="1" xfId="6" applyFont="1" applyFill="1" applyBorder="1" applyAlignment="1">
      <alignment horizontal="left" vertical="center" wrapText="1"/>
    </xf>
    <xf numFmtId="4" fontId="8" fillId="9" borderId="1" xfId="6" applyNumberFormat="1" applyFont="1" applyFill="1" applyBorder="1" applyAlignment="1">
      <alignment horizontal="center" vertical="center" wrapText="1"/>
    </xf>
    <xf numFmtId="0" fontId="9" fillId="7" borderId="1" xfId="6" applyFont="1" applyFill="1" applyBorder="1" applyAlignment="1">
      <alignment horizontal="center" vertical="center" wrapText="1"/>
    </xf>
    <xf numFmtId="2" fontId="9" fillId="7" borderId="1" xfId="6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0" xfId="0"/>
    <xf numFmtId="2" fontId="0" fillId="0" borderId="4" xfId="0" applyNumberFormat="1" applyBorder="1"/>
    <xf numFmtId="2" fontId="0" fillId="0" borderId="0" xfId="0" applyNumberFormat="1" applyBorder="1"/>
    <xf numFmtId="0" fontId="0" fillId="0" borderId="5" xfId="0" applyBorder="1"/>
    <xf numFmtId="2" fontId="0" fillId="0" borderId="5" xfId="0" applyNumberFormat="1" applyBorder="1"/>
    <xf numFmtId="2" fontId="0" fillId="0" borderId="8" xfId="0" applyNumberFormat="1" applyBorder="1"/>
    <xf numFmtId="2" fontId="0" fillId="0" borderId="9" xfId="0" applyNumberFormat="1" applyBorder="1"/>
    <xf numFmtId="0" fontId="0" fillId="0" borderId="10" xfId="0" applyBorder="1"/>
    <xf numFmtId="2" fontId="0" fillId="0" borderId="10" xfId="0" applyNumberFormat="1" applyBorder="1"/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0" fillId="0" borderId="11" xfId="0" applyBorder="1"/>
    <xf numFmtId="2" fontId="0" fillId="0" borderId="11" xfId="0" applyNumberFormat="1" applyBorder="1"/>
    <xf numFmtId="2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Alignment="1">
      <alignment horizontal="right"/>
    </xf>
    <xf numFmtId="2" fontId="11" fillId="0" borderId="15" xfId="0" applyNumberFormat="1" applyFont="1" applyBorder="1" applyAlignment="1">
      <alignment vertical="center"/>
    </xf>
    <xf numFmtId="2" fontId="11" fillId="0" borderId="0" xfId="0" applyNumberFormat="1" applyFont="1" applyBorder="1" applyAlignment="1">
      <alignment vertical="center"/>
    </xf>
    <xf numFmtId="2" fontId="11" fillId="0" borderId="21" xfId="0" applyNumberFormat="1" applyFont="1" applyBorder="1" applyAlignment="1"/>
    <xf numFmtId="2" fontId="10" fillId="0" borderId="0" xfId="0" applyNumberFormat="1" applyFont="1" applyBorder="1"/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/>
    </xf>
    <xf numFmtId="4" fontId="13" fillId="0" borderId="0" xfId="0" applyNumberFormat="1" applyFont="1" applyBorder="1" applyAlignment="1">
      <alignment vertical="center"/>
    </xf>
    <xf numFmtId="4" fontId="13" fillId="0" borderId="19" xfId="0" applyNumberFormat="1" applyFont="1" applyBorder="1" applyAlignment="1">
      <alignment horizontal="right" vertical="center"/>
    </xf>
    <xf numFmtId="4" fontId="13" fillId="0" borderId="21" xfId="0" applyNumberFormat="1" applyFont="1" applyBorder="1" applyAlignment="1">
      <alignment horizontal="center"/>
    </xf>
    <xf numFmtId="4" fontId="14" fillId="0" borderId="21" xfId="1" applyNumberFormat="1" applyFont="1" applyBorder="1" applyAlignment="1">
      <alignment horizontal="center"/>
    </xf>
    <xf numFmtId="4" fontId="13" fillId="0" borderId="22" xfId="0" applyNumberFormat="1" applyFont="1" applyBorder="1" applyAlignment="1">
      <alignment horizontal="right"/>
    </xf>
    <xf numFmtId="0" fontId="13" fillId="0" borderId="15" xfId="0" applyFont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center" vertical="center" wrapText="1"/>
    </xf>
    <xf numFmtId="4" fontId="4" fillId="0" borderId="21" xfId="0" applyNumberFormat="1" applyFont="1" applyBorder="1"/>
    <xf numFmtId="0" fontId="4" fillId="0" borderId="3" xfId="0" applyFont="1" applyBorder="1" applyAlignment="1">
      <alignment vertical="center" wrapText="1"/>
    </xf>
    <xf numFmtId="0" fontId="4" fillId="0" borderId="0" xfId="0" applyFont="1" applyBorder="1"/>
    <xf numFmtId="4" fontId="4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/>
    </xf>
    <xf numFmtId="2" fontId="11" fillId="4" borderId="1" xfId="2" applyNumberFormat="1" applyFont="1" applyFill="1" applyBorder="1" applyAlignment="1">
      <alignment horizontal="center" vertical="center" wrapText="1"/>
    </xf>
    <xf numFmtId="2" fontId="3" fillId="5" borderId="1" xfId="1" applyNumberFormat="1" applyFont="1" applyFill="1" applyBorder="1" applyAlignment="1" applyProtection="1">
      <alignment horizontal="center" vertical="center" wrapText="1"/>
    </xf>
    <xf numFmtId="2" fontId="3" fillId="5" borderId="1" xfId="2" applyNumberFormat="1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2" fontId="12" fillId="0" borderId="0" xfId="0" applyNumberFormat="1" applyFont="1" applyBorder="1"/>
    <xf numFmtId="2" fontId="12" fillId="0" borderId="0" xfId="0" applyNumberFormat="1" applyFont="1" applyBorder="1" applyAlignment="1">
      <alignment horizontal="center" vertical="center"/>
    </xf>
    <xf numFmtId="2" fontId="10" fillId="0" borderId="0" xfId="0" applyNumberFormat="1" applyFont="1"/>
    <xf numFmtId="0" fontId="11" fillId="2" borderId="1" xfId="2" applyFont="1" applyFill="1" applyBorder="1" applyAlignment="1">
      <alignment horizontal="center" vertical="center" wrapText="1"/>
    </xf>
    <xf numFmtId="0" fontId="11" fillId="2" borderId="1" xfId="2" applyFont="1" applyFill="1" applyBorder="1" applyAlignment="1">
      <alignment horizontal="left" vertical="center" wrapText="1"/>
    </xf>
    <xf numFmtId="2" fontId="11" fillId="2" borderId="1" xfId="2" applyNumberFormat="1" applyFont="1" applyFill="1" applyBorder="1" applyAlignment="1">
      <alignment horizontal="center" vertical="center" wrapText="1"/>
    </xf>
    <xf numFmtId="4" fontId="11" fillId="2" borderId="1" xfId="2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1" fillId="2" borderId="1" xfId="2" applyNumberFormat="1" applyFont="1" applyFill="1" applyBorder="1" applyAlignment="1">
      <alignment horizontal="right" vertical="center" wrapText="1"/>
    </xf>
    <xf numFmtId="0" fontId="10" fillId="0" borderId="0" xfId="0" applyFont="1" applyAlignment="1"/>
    <xf numFmtId="0" fontId="10" fillId="0" borderId="0" xfId="0" applyFont="1"/>
    <xf numFmtId="3" fontId="11" fillId="4" borderId="1" xfId="2" applyNumberFormat="1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left" vertical="center" wrapText="1"/>
    </xf>
    <xf numFmtId="4" fontId="11" fillId="4" borderId="1" xfId="2" applyNumberFormat="1" applyFont="1" applyFill="1" applyBorder="1" applyAlignment="1">
      <alignment horizontal="center" vertical="center" wrapText="1"/>
    </xf>
    <xf numFmtId="4" fontId="11" fillId="4" borderId="1" xfId="2" applyNumberFormat="1" applyFont="1" applyFill="1" applyBorder="1" applyAlignment="1">
      <alignment horizontal="right" vertical="center" wrapText="1"/>
    </xf>
    <xf numFmtId="3" fontId="3" fillId="5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3" fillId="5" borderId="1" xfId="2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" fontId="11" fillId="11" borderId="1" xfId="2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horizontal="center" vertical="center"/>
    </xf>
    <xf numFmtId="4" fontId="3" fillId="5" borderId="1" xfId="2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3" fillId="0" borderId="1" xfId="4" applyFont="1" applyFill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/>
    </xf>
    <xf numFmtId="0" fontId="3" fillId="5" borderId="1" xfId="2" applyFont="1" applyFill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16" fillId="0" borderId="0" xfId="0" applyFont="1"/>
    <xf numFmtId="4" fontId="11" fillId="11" borderId="23" xfId="2" applyNumberFormat="1" applyFont="1" applyFill="1" applyBorder="1" applyAlignment="1">
      <alignment horizontal="right" vertical="center" wrapText="1"/>
    </xf>
    <xf numFmtId="4" fontId="11" fillId="4" borderId="11" xfId="2" applyNumberFormat="1" applyFont="1" applyFill="1" applyBorder="1" applyAlignment="1">
      <alignment horizontal="right" vertical="center" wrapText="1"/>
    </xf>
    <xf numFmtId="0" fontId="17" fillId="4" borderId="1" xfId="2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5" borderId="1" xfId="2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0" xfId="0" applyFont="1" applyBorder="1"/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/>
    <xf numFmtId="0" fontId="20" fillId="0" borderId="0" xfId="0" applyFont="1"/>
    <xf numFmtId="0" fontId="10" fillId="0" borderId="0" xfId="0" applyFont="1"/>
    <xf numFmtId="0" fontId="10" fillId="0" borderId="0" xfId="0" applyFont="1"/>
    <xf numFmtId="0" fontId="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1" fillId="2" borderId="23" xfId="2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right" vertical="center" wrapText="1"/>
    </xf>
    <xf numFmtId="0" fontId="11" fillId="6" borderId="12" xfId="2" applyFont="1" applyFill="1" applyBorder="1" applyAlignment="1">
      <alignment horizontal="left" vertical="center"/>
    </xf>
    <xf numFmtId="0" fontId="11" fillId="6" borderId="13" xfId="2" applyFont="1" applyFill="1" applyBorder="1" applyAlignment="1">
      <alignment horizontal="left" vertical="center"/>
    </xf>
    <xf numFmtId="0" fontId="11" fillId="6" borderId="14" xfId="2" applyFont="1" applyFill="1" applyBorder="1" applyAlignment="1">
      <alignment horizontal="left" vertical="center"/>
    </xf>
    <xf numFmtId="0" fontId="4" fillId="0" borderId="0" xfId="0" applyFont="1" applyBorder="1" applyAlignment="1">
      <alignment horizontal="right" vertical="center" wrapText="1"/>
    </xf>
    <xf numFmtId="0" fontId="4" fillId="0" borderId="17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13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7" fillId="10" borderId="1" xfId="6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4" fontId="7" fillId="10" borderId="7" xfId="6" applyNumberFormat="1" applyFont="1" applyFill="1" applyBorder="1" applyAlignment="1">
      <alignment horizontal="center" vertical="center" wrapText="1"/>
    </xf>
    <xf numFmtId="4" fontId="7" fillId="10" borderId="6" xfId="6" applyNumberFormat="1" applyFont="1" applyFill="1" applyBorder="1" applyAlignment="1">
      <alignment horizontal="center" vertical="center" wrapText="1"/>
    </xf>
    <xf numFmtId="4" fontId="7" fillId="10" borderId="2" xfId="6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0" xfId="0" applyAlignment="1">
      <alignment horizontal="center"/>
    </xf>
  </cellXfs>
  <cellStyles count="7">
    <cellStyle name="Excel Built-in Normal" xfId="2"/>
    <cellStyle name="Excel Built-in Normal 1 2" xfId="4"/>
    <cellStyle name="Excel Built-in Normal 2" xfId="3"/>
    <cellStyle name="Normal" xfId="0" builtinId="0"/>
    <cellStyle name="Normal_Pesquisa no referencial 10 de maio de 2013" xfId="6"/>
    <cellStyle name="Porcentagem" xfId="1" builtinId="5"/>
    <cellStyle name="Vírgula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187738</xdr:colOff>
      <xdr:row>1</xdr:row>
      <xdr:rowOff>0</xdr:rowOff>
    </xdr:from>
    <xdr:to>
      <xdr:col>1</xdr:col>
      <xdr:colOff>914400</xdr:colOff>
      <xdr:row>5</xdr:row>
      <xdr:rowOff>57150</xdr:rowOff>
    </xdr:to>
    <xdr:pic>
      <xdr:nvPicPr>
        <xdr:cNvPr id="3" name="Imagem 3" descr="bandeira GASPAR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7738" y="190500"/>
          <a:ext cx="1155287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323118</xdr:colOff>
      <xdr:row>0</xdr:row>
      <xdr:rowOff>103309</xdr:rowOff>
    </xdr:from>
    <xdr:to>
      <xdr:col>7</xdr:col>
      <xdr:colOff>475518</xdr:colOff>
      <xdr:row>5</xdr:row>
      <xdr:rowOff>17585</xdr:rowOff>
    </xdr:to>
    <xdr:pic>
      <xdr:nvPicPr>
        <xdr:cNvPr id="4" name="Imagem 4" descr="brasao_oficial_pequeno.jpg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14618" y="103309"/>
          <a:ext cx="914400" cy="8638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6"/>
  <sheetViews>
    <sheetView tabSelected="1" workbookViewId="0">
      <selection activeCell="E59" sqref="E59"/>
    </sheetView>
  </sheetViews>
  <sheetFormatPr defaultRowHeight="15"/>
  <cols>
    <col min="1" max="1" width="6.42578125" customWidth="1"/>
    <col min="2" max="2" width="15.140625" style="130" customWidth="1"/>
    <col min="3" max="3" width="69.28515625" style="5" customWidth="1"/>
    <col min="4" max="4" width="9.140625" style="90"/>
    <col min="5" max="5" width="10.5703125" style="12" customWidth="1"/>
    <col min="6" max="6" width="12.140625" style="12" customWidth="1"/>
    <col min="7" max="7" width="11.42578125" style="12" customWidth="1"/>
    <col min="8" max="8" width="13.7109375" style="59" bestFit="1" customWidth="1"/>
  </cols>
  <sheetData>
    <row r="1" spans="1:18">
      <c r="A1" s="144"/>
      <c r="B1" s="145"/>
      <c r="C1" s="71" t="s">
        <v>27</v>
      </c>
      <c r="D1" s="60"/>
      <c r="E1" s="64"/>
      <c r="F1" s="64"/>
      <c r="G1" s="64"/>
      <c r="H1" s="65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146"/>
      <c r="B2" s="147"/>
      <c r="C2" s="72" t="s">
        <v>28</v>
      </c>
      <c r="D2" s="61"/>
      <c r="E2" s="66"/>
      <c r="F2" s="66"/>
      <c r="G2" s="66"/>
      <c r="H2" s="67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>
      <c r="A3" s="146"/>
      <c r="B3" s="147"/>
      <c r="C3" s="150" t="s">
        <v>180</v>
      </c>
      <c r="D3" s="61"/>
      <c r="E3" s="66"/>
      <c r="F3" s="66"/>
      <c r="G3" s="66"/>
      <c r="H3" s="67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>
      <c r="A4" s="146"/>
      <c r="B4" s="147"/>
      <c r="C4" s="150"/>
      <c r="D4" s="61"/>
      <c r="E4" s="66"/>
      <c r="F4" s="66"/>
      <c r="G4" s="66"/>
      <c r="H4" s="67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11" customFormat="1">
      <c r="A5" s="146"/>
      <c r="B5" s="147"/>
      <c r="C5" s="73" t="s">
        <v>153</v>
      </c>
      <c r="D5" s="61"/>
      <c r="E5" s="66"/>
      <c r="F5" s="66"/>
      <c r="G5" s="66"/>
      <c r="H5" s="67"/>
    </row>
    <row r="6" spans="1:18">
      <c r="A6" s="148"/>
      <c r="B6" s="149"/>
      <c r="C6" s="74" t="s">
        <v>119</v>
      </c>
      <c r="D6" s="62"/>
      <c r="E6" s="68" t="s">
        <v>0</v>
      </c>
      <c r="F6" s="69">
        <v>0.26850000000000002</v>
      </c>
      <c r="G6" s="75"/>
      <c r="H6" s="70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s="98" customFormat="1" ht="25.5">
      <c r="A7" s="91" t="s">
        <v>1</v>
      </c>
      <c r="B7" s="91" t="s">
        <v>2</v>
      </c>
      <c r="C7" s="92" t="s">
        <v>3</v>
      </c>
      <c r="D7" s="93" t="s">
        <v>11</v>
      </c>
      <c r="E7" s="94" t="s">
        <v>4</v>
      </c>
      <c r="F7" s="95" t="s">
        <v>5</v>
      </c>
      <c r="G7" s="95" t="s">
        <v>6</v>
      </c>
      <c r="H7" s="96" t="s">
        <v>7</v>
      </c>
      <c r="I7" s="97"/>
      <c r="J7" s="97"/>
      <c r="K7" s="97"/>
      <c r="L7" s="97"/>
      <c r="M7" s="97"/>
      <c r="N7" s="97"/>
      <c r="O7" s="97"/>
      <c r="P7" s="97"/>
      <c r="Q7" s="132"/>
      <c r="R7" s="132"/>
    </row>
    <row r="8" spans="1:18" s="98" customFormat="1" ht="12.75">
      <c r="A8" s="99" t="s">
        <v>8</v>
      </c>
      <c r="B8" s="121"/>
      <c r="C8" s="100" t="s">
        <v>83</v>
      </c>
      <c r="D8" s="84"/>
      <c r="E8" s="101"/>
      <c r="F8" s="101"/>
      <c r="G8" s="101"/>
      <c r="H8" s="102"/>
    </row>
    <row r="9" spans="1:18" s="98" customFormat="1" ht="25.5">
      <c r="A9" s="103" t="s">
        <v>9</v>
      </c>
      <c r="B9" s="122" t="s">
        <v>85</v>
      </c>
      <c r="C9" s="104" t="s">
        <v>176</v>
      </c>
      <c r="D9" s="85" t="s">
        <v>79</v>
      </c>
      <c r="E9" s="105">
        <f>18.05*2.2</f>
        <v>39.710000000000008</v>
      </c>
      <c r="F9" s="106">
        <v>21.58</v>
      </c>
      <c r="G9" s="106">
        <f>ROUND(F9*1.2685,2)</f>
        <v>27.37</v>
      </c>
      <c r="H9" s="107">
        <f>ROUND(G9*E9,2)</f>
        <v>1086.8599999999999</v>
      </c>
      <c r="J9" s="108"/>
    </row>
    <row r="10" spans="1:18" s="98" customFormat="1" ht="12.75">
      <c r="A10" s="136" t="s">
        <v>80</v>
      </c>
      <c r="B10" s="136"/>
      <c r="C10" s="136"/>
      <c r="D10" s="136"/>
      <c r="E10" s="136"/>
      <c r="F10" s="136"/>
      <c r="G10" s="136"/>
      <c r="H10" s="109">
        <f>SUM(H9:H9,)</f>
        <v>1086.8599999999999</v>
      </c>
    </row>
    <row r="11" spans="1:18" s="98" customFormat="1" ht="12.75">
      <c r="A11" s="99" t="s">
        <v>12</v>
      </c>
      <c r="B11" s="121"/>
      <c r="C11" s="100" t="s">
        <v>93</v>
      </c>
      <c r="D11" s="84"/>
      <c r="E11" s="101"/>
      <c r="F11" s="101"/>
      <c r="G11" s="101"/>
      <c r="H11" s="102"/>
    </row>
    <row r="12" spans="1:18" s="98" customFormat="1" ht="22.5">
      <c r="A12" s="103" t="s">
        <v>13</v>
      </c>
      <c r="B12" s="122" t="s">
        <v>127</v>
      </c>
      <c r="C12" s="104" t="s">
        <v>173</v>
      </c>
      <c r="D12" s="85" t="s">
        <v>79</v>
      </c>
      <c r="E12" s="105">
        <f>1.26*0.86</f>
        <v>1.0835999999999999</v>
      </c>
      <c r="F12" s="110">
        <f>36.58*1.1138</f>
        <v>40.742803999999992</v>
      </c>
      <c r="G12" s="110">
        <f>ROUND(F12*1.2685,2)</f>
        <v>51.68</v>
      </c>
      <c r="H12" s="107">
        <f>ROUND(G12*E12,2)</f>
        <v>56</v>
      </c>
      <c r="J12" s="108"/>
    </row>
    <row r="13" spans="1:18" s="98" customFormat="1" ht="25.5">
      <c r="A13" s="103" t="s">
        <v>15</v>
      </c>
      <c r="B13" s="122" t="s">
        <v>113</v>
      </c>
      <c r="C13" s="104" t="s">
        <v>174</v>
      </c>
      <c r="D13" s="85" t="s">
        <v>88</v>
      </c>
      <c r="E13" s="105">
        <f>0.8*0.2*0.04*2+1.2*0.2*0.04*2</f>
        <v>3.2000000000000001E-2</v>
      </c>
      <c r="F13" s="110">
        <f>347.21*1.1138</f>
        <v>386.72249799999992</v>
      </c>
      <c r="G13" s="110">
        <f>ROUND(F13*1.2685,2)</f>
        <v>490.56</v>
      </c>
      <c r="H13" s="107">
        <f>ROUND(G13*E13,2)</f>
        <v>15.7</v>
      </c>
      <c r="J13" s="108"/>
    </row>
    <row r="14" spans="1:18" s="98" customFormat="1" ht="12.75">
      <c r="A14" s="136" t="s">
        <v>81</v>
      </c>
      <c r="B14" s="136"/>
      <c r="C14" s="136"/>
      <c r="D14" s="136"/>
      <c r="E14" s="136"/>
      <c r="F14" s="136"/>
      <c r="G14" s="136"/>
      <c r="H14" s="109">
        <f>SUM(H12:H13,)</f>
        <v>71.7</v>
      </c>
    </row>
    <row r="15" spans="1:18" s="98" customFormat="1" ht="12.75">
      <c r="A15" s="99" t="s">
        <v>16</v>
      </c>
      <c r="B15" s="121"/>
      <c r="C15" s="100" t="s">
        <v>147</v>
      </c>
      <c r="D15" s="84"/>
      <c r="E15" s="101"/>
      <c r="F15" s="101"/>
      <c r="G15" s="101"/>
      <c r="H15" s="102"/>
    </row>
    <row r="16" spans="1:18" s="98" customFormat="1" ht="12.75">
      <c r="A16" s="103" t="s">
        <v>17</v>
      </c>
      <c r="B16" s="122" t="s">
        <v>171</v>
      </c>
      <c r="C16" s="104" t="s">
        <v>172</v>
      </c>
      <c r="D16" s="85" t="s">
        <v>79</v>
      </c>
      <c r="E16" s="105">
        <f>23.91+51.1+16.21+6.58</f>
        <v>97.8</v>
      </c>
      <c r="F16" s="110">
        <v>16.73</v>
      </c>
      <c r="G16" s="110">
        <f>ROUND(F16*1.2685,2)</f>
        <v>21.22</v>
      </c>
      <c r="H16" s="107">
        <f>ROUND(G16*E16,2)</f>
        <v>2075.3200000000002</v>
      </c>
      <c r="J16" s="108"/>
    </row>
    <row r="17" spans="1:10" s="98" customFormat="1" ht="25.5">
      <c r="A17" s="103" t="s">
        <v>143</v>
      </c>
      <c r="B17" s="122" t="s">
        <v>150</v>
      </c>
      <c r="C17" s="104" t="s">
        <v>149</v>
      </c>
      <c r="D17" s="85" t="s">
        <v>79</v>
      </c>
      <c r="E17" s="105">
        <f>23.91+51.1+16.21+6.58</f>
        <v>97.8</v>
      </c>
      <c r="F17" s="110">
        <f>24.08*1.1138</f>
        <v>26.820303999999997</v>
      </c>
      <c r="G17" s="110">
        <f>ROUND(F17*1.2685,2)</f>
        <v>34.020000000000003</v>
      </c>
      <c r="H17" s="107">
        <f>ROUND(G17*E17,2)</f>
        <v>3327.16</v>
      </c>
      <c r="J17" s="108"/>
    </row>
    <row r="18" spans="1:10" s="98" customFormat="1" ht="25.5">
      <c r="A18" s="103" t="s">
        <v>154</v>
      </c>
      <c r="B18" s="122" t="s">
        <v>148</v>
      </c>
      <c r="C18" s="104" t="s">
        <v>175</v>
      </c>
      <c r="D18" s="85" t="s">
        <v>79</v>
      </c>
      <c r="E18" s="105">
        <f>(3.52-0.9+6.25-0.9+3.92+6.55)*1.5</f>
        <v>27.660000000000004</v>
      </c>
      <c r="F18" s="110">
        <f>32.96*1.1138</f>
        <v>36.710847999999999</v>
      </c>
      <c r="G18" s="110">
        <f>ROUND(F18*1.2685,2)</f>
        <v>46.57</v>
      </c>
      <c r="H18" s="107">
        <f>ROUND(G18*E18,2)</f>
        <v>1288.1300000000001</v>
      </c>
      <c r="J18" s="108"/>
    </row>
    <row r="19" spans="1:10" s="98" customFormat="1" ht="25.5">
      <c r="A19" s="103" t="s">
        <v>170</v>
      </c>
      <c r="B19" s="122" t="s">
        <v>151</v>
      </c>
      <c r="C19" s="104" t="s">
        <v>168</v>
      </c>
      <c r="D19" s="85" t="s">
        <v>152</v>
      </c>
      <c r="E19" s="105">
        <f>4.15+8.5+0.63+4.76+8.5-1.8+3.05+6.2+4.08+1.38+2.52+3.7+1+1.96-0.9+3.41+1.84+3.51-0.9</f>
        <v>55.590000000000018</v>
      </c>
      <c r="F19" s="110">
        <f>14.31*1.1138</f>
        <v>15.938478</v>
      </c>
      <c r="G19" s="110">
        <f>ROUND(F19*1.2685,2)</f>
        <v>20.22</v>
      </c>
      <c r="H19" s="107">
        <f>ROUND(G19*E19,2)</f>
        <v>1124.03</v>
      </c>
      <c r="J19" s="108"/>
    </row>
    <row r="20" spans="1:10" s="98" customFormat="1" ht="12.75">
      <c r="A20" s="136" t="s">
        <v>82</v>
      </c>
      <c r="B20" s="136"/>
      <c r="C20" s="136"/>
      <c r="D20" s="136"/>
      <c r="E20" s="136"/>
      <c r="F20" s="136"/>
      <c r="G20" s="136"/>
      <c r="H20" s="109">
        <f>SUM(H16:H19,)</f>
        <v>7814.6399999999994</v>
      </c>
    </row>
    <row r="21" spans="1:10" s="98" customFormat="1" ht="12.75">
      <c r="A21" s="99" t="s">
        <v>18</v>
      </c>
      <c r="B21" s="121"/>
      <c r="C21" s="100" t="s">
        <v>10</v>
      </c>
      <c r="D21" s="84"/>
      <c r="E21" s="101"/>
      <c r="F21" s="101"/>
      <c r="G21" s="111"/>
      <c r="H21" s="102"/>
    </row>
    <row r="22" spans="1:10" s="98" customFormat="1" ht="25.5">
      <c r="A22" s="103" t="s">
        <v>19</v>
      </c>
      <c r="B22" s="122" t="s">
        <v>123</v>
      </c>
      <c r="C22" s="104" t="s">
        <v>124</v>
      </c>
      <c r="D22" s="85" t="s">
        <v>79</v>
      </c>
      <c r="E22" s="105">
        <f>1.2*0.8</f>
        <v>0.96</v>
      </c>
      <c r="F22" s="106">
        <v>549.53</v>
      </c>
      <c r="G22" s="106">
        <f>ROUND(F22*1.2685,2)</f>
        <v>697.08</v>
      </c>
      <c r="H22" s="107">
        <f>ROUND(G22*E22,2)</f>
        <v>669.2</v>
      </c>
      <c r="J22" s="108"/>
    </row>
    <row r="23" spans="1:10" s="98" customFormat="1" ht="25.5">
      <c r="A23" s="103" t="s">
        <v>137</v>
      </c>
      <c r="B23" s="122" t="s">
        <v>144</v>
      </c>
      <c r="C23" s="104" t="s">
        <v>145</v>
      </c>
      <c r="D23" s="85" t="s">
        <v>79</v>
      </c>
      <c r="E23" s="112">
        <f>0.9*2.1</f>
        <v>1.8900000000000001</v>
      </c>
      <c r="F23" s="106">
        <f>344.2*1.1138+106</f>
        <v>489.36995999999994</v>
      </c>
      <c r="G23" s="106">
        <f>ROUND(F23*1.2685,2)</f>
        <v>620.77</v>
      </c>
      <c r="H23" s="107">
        <f>ROUND(G23*E23,2)</f>
        <v>1173.26</v>
      </c>
      <c r="J23" s="108"/>
    </row>
    <row r="24" spans="1:10" s="98" customFormat="1" ht="12.75">
      <c r="A24" s="136" t="s">
        <v>155</v>
      </c>
      <c r="B24" s="136"/>
      <c r="C24" s="136"/>
      <c r="D24" s="136"/>
      <c r="E24" s="136"/>
      <c r="F24" s="136"/>
      <c r="G24" s="136"/>
      <c r="H24" s="109">
        <f>SUM(H22:H23,)</f>
        <v>1842.46</v>
      </c>
    </row>
    <row r="25" spans="1:10" s="98" customFormat="1" ht="12.75">
      <c r="A25" s="99" t="s">
        <v>20</v>
      </c>
      <c r="B25" s="121"/>
      <c r="C25" s="100" t="s">
        <v>84</v>
      </c>
      <c r="D25" s="84"/>
      <c r="E25" s="101"/>
      <c r="F25" s="101"/>
      <c r="G25" s="101"/>
      <c r="H25" s="102"/>
    </row>
    <row r="26" spans="1:10" s="98" customFormat="1" ht="25.5">
      <c r="A26" s="103" t="s">
        <v>21</v>
      </c>
      <c r="B26" s="122" t="s">
        <v>112</v>
      </c>
      <c r="C26" s="104" t="s">
        <v>86</v>
      </c>
      <c r="D26" s="85" t="s">
        <v>79</v>
      </c>
      <c r="E26" s="105">
        <f>(16.34+51.1+36.84+87.25)</f>
        <v>191.53</v>
      </c>
      <c r="F26" s="110">
        <f>71.33*1.1138</f>
        <v>79.44735399999999</v>
      </c>
      <c r="G26" s="110">
        <f>ROUND(F26*1.2685,2)</f>
        <v>100.78</v>
      </c>
      <c r="H26" s="107">
        <f>ROUND(G26*E26,2)</f>
        <v>19302.39</v>
      </c>
      <c r="J26" s="108"/>
    </row>
    <row r="27" spans="1:10" s="98" customFormat="1" ht="22.5">
      <c r="A27" s="103" t="s">
        <v>131</v>
      </c>
      <c r="B27" s="122" t="s">
        <v>138</v>
      </c>
      <c r="C27" s="104" t="s">
        <v>139</v>
      </c>
      <c r="D27" s="85" t="s">
        <v>79</v>
      </c>
      <c r="E27" s="105">
        <v>5.09</v>
      </c>
      <c r="F27" s="110">
        <f>5.31*1.1138</f>
        <v>5.9142779999999995</v>
      </c>
      <c r="G27" s="110">
        <f>ROUND(F27*1.2685,2)</f>
        <v>7.5</v>
      </c>
      <c r="H27" s="107">
        <f>ROUND(G27*E27,2)</f>
        <v>38.18</v>
      </c>
      <c r="J27" s="108"/>
    </row>
    <row r="28" spans="1:10" s="98" customFormat="1" ht="12.75">
      <c r="A28" s="136" t="s">
        <v>156</v>
      </c>
      <c r="B28" s="136"/>
      <c r="C28" s="136"/>
      <c r="D28" s="136"/>
      <c r="E28" s="136"/>
      <c r="F28" s="136"/>
      <c r="G28" s="136"/>
      <c r="H28" s="109">
        <f>SUM(H26:H27,)</f>
        <v>19340.57</v>
      </c>
    </row>
    <row r="29" spans="1:10" s="98" customFormat="1" ht="12.75">
      <c r="A29" s="99" t="s">
        <v>22</v>
      </c>
      <c r="B29" s="121"/>
      <c r="C29" s="100" t="s">
        <v>29</v>
      </c>
      <c r="D29" s="84"/>
      <c r="E29" s="101"/>
      <c r="F29" s="101"/>
      <c r="G29" s="111"/>
      <c r="H29" s="102"/>
    </row>
    <row r="30" spans="1:10" s="98" customFormat="1" ht="22.5">
      <c r="A30" s="113" t="s">
        <v>23</v>
      </c>
      <c r="B30" s="123" t="s">
        <v>179</v>
      </c>
      <c r="C30" s="114" t="s">
        <v>129</v>
      </c>
      <c r="D30" s="85" t="s">
        <v>78</v>
      </c>
      <c r="E30" s="106">
        <v>19</v>
      </c>
      <c r="F30" s="115">
        <f>9.08*1.1138</f>
        <v>10.113303999999999</v>
      </c>
      <c r="G30" s="106">
        <f t="shared" ref="G30" si="0">ROUND(F30*1.2685,2)</f>
        <v>12.83</v>
      </c>
      <c r="H30" s="107">
        <f>ROUND(G30*E30,2)</f>
        <v>243.77</v>
      </c>
    </row>
    <row r="31" spans="1:10" s="98" customFormat="1" ht="25.5">
      <c r="A31" s="113" t="s">
        <v>120</v>
      </c>
      <c r="B31" s="123" t="s">
        <v>132</v>
      </c>
      <c r="C31" s="114" t="s">
        <v>133</v>
      </c>
      <c r="D31" s="85" t="s">
        <v>78</v>
      </c>
      <c r="E31" s="106">
        <v>26</v>
      </c>
      <c r="F31" s="115">
        <f>45.8+2.88</f>
        <v>48.68</v>
      </c>
      <c r="G31" s="106">
        <f t="shared" ref="G31" si="1">ROUND(F31*1.2685,2)</f>
        <v>61.75</v>
      </c>
      <c r="H31" s="107">
        <f t="shared" ref="H31" si="2">ROUND(G31*E31,2)</f>
        <v>1605.5</v>
      </c>
    </row>
    <row r="32" spans="1:10" s="98" customFormat="1" ht="25.5">
      <c r="A32" s="113" t="s">
        <v>121</v>
      </c>
      <c r="B32" s="123" t="s">
        <v>128</v>
      </c>
      <c r="C32" s="114" t="s">
        <v>136</v>
      </c>
      <c r="D32" s="85" t="s">
        <v>130</v>
      </c>
      <c r="E32" s="106">
        <v>2</v>
      </c>
      <c r="F32" s="115">
        <f>242.17*1.1138</f>
        <v>269.72894599999995</v>
      </c>
      <c r="G32" s="106">
        <f t="shared" ref="G32" si="3">ROUND(F32*1.2685,2)</f>
        <v>342.15</v>
      </c>
      <c r="H32" s="107">
        <f t="shared" ref="H32" si="4">ROUND(G32*E32,2)</f>
        <v>684.3</v>
      </c>
    </row>
    <row r="33" spans="1:8" s="98" customFormat="1" ht="25.5">
      <c r="A33" s="113" t="s">
        <v>157</v>
      </c>
      <c r="B33" s="123" t="s">
        <v>134</v>
      </c>
      <c r="C33" s="114" t="s">
        <v>135</v>
      </c>
      <c r="D33" s="85" t="s">
        <v>78</v>
      </c>
      <c r="E33" s="106">
        <v>4</v>
      </c>
      <c r="F33" s="115">
        <f>(9.08+7.83)*1.1138</f>
        <v>18.834357999999998</v>
      </c>
      <c r="G33" s="106">
        <f t="shared" ref="G33" si="5">ROUND(F33*1.2685,2)</f>
        <v>23.89</v>
      </c>
      <c r="H33" s="107">
        <f t="shared" ref="H33" si="6">ROUND(G33*E33,2)</f>
        <v>95.56</v>
      </c>
    </row>
    <row r="34" spans="1:8" s="98" customFormat="1" ht="25.5">
      <c r="A34" s="113" t="s">
        <v>165</v>
      </c>
      <c r="B34" s="123" t="s">
        <v>164</v>
      </c>
      <c r="C34" s="114" t="s">
        <v>163</v>
      </c>
      <c r="D34" s="85" t="s">
        <v>78</v>
      </c>
      <c r="E34" s="106">
        <v>2</v>
      </c>
      <c r="F34" s="115">
        <v>170.3</v>
      </c>
      <c r="G34" s="106">
        <f t="shared" ref="G34" si="7">ROUND(F34*1.2685,2)</f>
        <v>216.03</v>
      </c>
      <c r="H34" s="107">
        <f t="shared" ref="H34" si="8">ROUND(G34*E34,2)</f>
        <v>432.06</v>
      </c>
    </row>
    <row r="35" spans="1:8" s="131" customFormat="1" ht="25.5">
      <c r="A35" s="113" t="s">
        <v>178</v>
      </c>
      <c r="B35" s="123" t="s">
        <v>132</v>
      </c>
      <c r="C35" s="114" t="s">
        <v>177</v>
      </c>
      <c r="D35" s="85" t="s">
        <v>79</v>
      </c>
      <c r="E35" s="106">
        <v>675.54</v>
      </c>
      <c r="F35" s="115">
        <v>1.25</v>
      </c>
      <c r="G35" s="106">
        <f t="shared" ref="G35" si="9">ROUND(F35*1.2685,2)</f>
        <v>1.59</v>
      </c>
      <c r="H35" s="107">
        <f t="shared" ref="H35" si="10">ROUND(G35*E35,2)</f>
        <v>1074.1099999999999</v>
      </c>
    </row>
    <row r="36" spans="1:8" s="98" customFormat="1" ht="12.75">
      <c r="A36" s="136" t="s">
        <v>92</v>
      </c>
      <c r="B36" s="136"/>
      <c r="C36" s="136"/>
      <c r="D36" s="136"/>
      <c r="E36" s="136"/>
      <c r="F36" s="136"/>
      <c r="G36" s="136"/>
      <c r="H36" s="109">
        <f>SUM(H30:H35,)</f>
        <v>4135.2999999999993</v>
      </c>
    </row>
    <row r="37" spans="1:8" s="98" customFormat="1" ht="12.75">
      <c r="A37" s="99" t="s">
        <v>25</v>
      </c>
      <c r="B37" s="121"/>
      <c r="C37" s="100" t="s">
        <v>166</v>
      </c>
      <c r="D37" s="84"/>
      <c r="E37" s="101"/>
      <c r="F37" s="101"/>
      <c r="G37" s="111"/>
      <c r="H37" s="102"/>
    </row>
    <row r="38" spans="1:8" s="98" customFormat="1" ht="12.75">
      <c r="A38" s="113" t="s">
        <v>26</v>
      </c>
      <c r="B38" s="124" t="s">
        <v>132</v>
      </c>
      <c r="C38" s="116" t="s">
        <v>146</v>
      </c>
      <c r="D38" s="85" t="s">
        <v>78</v>
      </c>
      <c r="E38" s="106">
        <v>2</v>
      </c>
      <c r="F38" s="106">
        <v>2055.4299999999998</v>
      </c>
      <c r="G38" s="106">
        <f>ROUND(F38*1.2685,2)</f>
        <v>2607.31</v>
      </c>
      <c r="H38" s="107">
        <f>ROUND(G38*E38,2)</f>
        <v>5214.62</v>
      </c>
    </row>
    <row r="39" spans="1:8" s="98" customFormat="1" ht="63.75">
      <c r="A39" s="113" t="s">
        <v>140</v>
      </c>
      <c r="B39" s="124" t="s">
        <v>132</v>
      </c>
      <c r="C39" s="116" t="s">
        <v>182</v>
      </c>
      <c r="D39" s="85" t="s">
        <v>78</v>
      </c>
      <c r="E39" s="106">
        <v>2</v>
      </c>
      <c r="F39" s="115">
        <f>2150+15.4</f>
        <v>2165.4</v>
      </c>
      <c r="G39" s="106">
        <f>ROUND(F39*1.2685,2)</f>
        <v>2746.81</v>
      </c>
      <c r="H39" s="107">
        <f>ROUND(G39*E39,2)</f>
        <v>5493.62</v>
      </c>
    </row>
    <row r="40" spans="1:8" s="98" customFormat="1" ht="12.75">
      <c r="A40" s="136" t="s">
        <v>108</v>
      </c>
      <c r="B40" s="136"/>
      <c r="C40" s="136"/>
      <c r="D40" s="136"/>
      <c r="E40" s="136"/>
      <c r="F40" s="136"/>
      <c r="G40" s="136"/>
      <c r="H40" s="109">
        <f>SUM(H38:H39,)</f>
        <v>10708.24</v>
      </c>
    </row>
    <row r="41" spans="1:8" s="98" customFormat="1" ht="12.75">
      <c r="A41" s="99" t="s">
        <v>109</v>
      </c>
      <c r="B41" s="121"/>
      <c r="C41" s="100" t="s">
        <v>100</v>
      </c>
      <c r="D41" s="84"/>
      <c r="E41" s="101"/>
      <c r="F41" s="101"/>
      <c r="G41" s="111"/>
      <c r="H41" s="102"/>
    </row>
    <row r="42" spans="1:8" s="98" customFormat="1" ht="12.75">
      <c r="A42" s="113" t="s">
        <v>31</v>
      </c>
      <c r="B42" s="125" t="s">
        <v>111</v>
      </c>
      <c r="C42" s="116" t="s">
        <v>107</v>
      </c>
      <c r="D42" s="86" t="s">
        <v>79</v>
      </c>
      <c r="E42" s="106">
        <f>(4*3-0.96)*2</f>
        <v>22.08</v>
      </c>
      <c r="F42" s="115">
        <f>5.02*1.0589</f>
        <v>5.3156779999999992</v>
      </c>
      <c r="G42" s="106">
        <f>ROUND(F42*1.2685,2)</f>
        <v>6.74</v>
      </c>
      <c r="H42" s="107">
        <f>ROUND(G42*E42,2)</f>
        <v>148.82</v>
      </c>
    </row>
    <row r="43" spans="1:8" s="118" customFormat="1" ht="12.75">
      <c r="A43" s="113" t="s">
        <v>158</v>
      </c>
      <c r="B43" s="126" t="s">
        <v>106</v>
      </c>
      <c r="C43" s="116" t="s">
        <v>118</v>
      </c>
      <c r="D43" s="86" t="s">
        <v>79</v>
      </c>
      <c r="E43" s="106">
        <f>(4*3-0.96)*2</f>
        <v>22.08</v>
      </c>
      <c r="F43" s="117">
        <v>2.2200000000000002</v>
      </c>
      <c r="G43" s="110">
        <f>ROUND(F43*1.2685,2)</f>
        <v>2.82</v>
      </c>
      <c r="H43" s="107">
        <f>ROUND(G43*E43,2)</f>
        <v>62.27</v>
      </c>
    </row>
    <row r="44" spans="1:8" s="98" customFormat="1" ht="25.5">
      <c r="A44" s="113" t="s">
        <v>159</v>
      </c>
      <c r="B44" s="123" t="s">
        <v>125</v>
      </c>
      <c r="C44" s="116" t="s">
        <v>126</v>
      </c>
      <c r="D44" s="86" t="s">
        <v>79</v>
      </c>
      <c r="E44" s="106">
        <f>(4*3-0.96)*2</f>
        <v>22.08</v>
      </c>
      <c r="F44" s="115">
        <f>13.25*1.1138</f>
        <v>14.757849999999999</v>
      </c>
      <c r="G44" s="106">
        <f>ROUND(F44*1.2685,2)</f>
        <v>18.72</v>
      </c>
      <c r="H44" s="107">
        <f>ROUND(G44*E44,2)</f>
        <v>413.34</v>
      </c>
    </row>
    <row r="45" spans="1:8" s="98" customFormat="1" ht="12.75">
      <c r="A45" s="136" t="s">
        <v>122</v>
      </c>
      <c r="B45" s="136"/>
      <c r="C45" s="136"/>
      <c r="D45" s="136"/>
      <c r="E45" s="136"/>
      <c r="F45" s="136"/>
      <c r="G45" s="136"/>
      <c r="H45" s="109">
        <f>SUM(H42:H44,)</f>
        <v>624.42999999999995</v>
      </c>
    </row>
    <row r="46" spans="1:8" s="98" customFormat="1" ht="12.75">
      <c r="A46" s="99" t="s">
        <v>141</v>
      </c>
      <c r="B46" s="121"/>
      <c r="C46" s="100" t="s">
        <v>87</v>
      </c>
      <c r="D46" s="84"/>
      <c r="E46" s="101"/>
      <c r="F46" s="101"/>
      <c r="G46" s="111"/>
      <c r="H46" s="102"/>
    </row>
    <row r="47" spans="1:8" s="98" customFormat="1" ht="22.5">
      <c r="A47" s="113" t="s">
        <v>142</v>
      </c>
      <c r="B47" s="124" t="s">
        <v>91</v>
      </c>
      <c r="C47" s="116" t="s">
        <v>89</v>
      </c>
      <c r="D47" s="86" t="s">
        <v>90</v>
      </c>
      <c r="E47" s="106">
        <v>3</v>
      </c>
      <c r="F47" s="115">
        <f>254.44*1.1138</f>
        <v>283.39527199999998</v>
      </c>
      <c r="G47" s="106">
        <f>ROUND(F47*1.2685,2)</f>
        <v>359.49</v>
      </c>
      <c r="H47" s="107">
        <f>ROUND(G47*E47,2)</f>
        <v>1078.47</v>
      </c>
    </row>
    <row r="48" spans="1:8" s="98" customFormat="1" ht="12.75">
      <c r="A48" s="136" t="s">
        <v>122</v>
      </c>
      <c r="B48" s="136"/>
      <c r="C48" s="136"/>
      <c r="D48" s="136"/>
      <c r="E48" s="136"/>
      <c r="F48" s="136"/>
      <c r="G48" s="136"/>
      <c r="H48" s="109">
        <f>SUM(H47,)</f>
        <v>1078.47</v>
      </c>
    </row>
    <row r="49" spans="1:9" s="98" customFormat="1" ht="12.75">
      <c r="A49" s="99" t="s">
        <v>160</v>
      </c>
      <c r="B49" s="121"/>
      <c r="C49" s="100" t="s">
        <v>30</v>
      </c>
      <c r="D49" s="84"/>
      <c r="E49" s="101"/>
      <c r="F49" s="101"/>
      <c r="G49" s="111"/>
      <c r="H49" s="102"/>
    </row>
    <row r="50" spans="1:9" s="98" customFormat="1" ht="12.75">
      <c r="A50" s="113" t="s">
        <v>161</v>
      </c>
      <c r="B50" s="124" t="s">
        <v>110</v>
      </c>
      <c r="C50" s="116" t="s">
        <v>169</v>
      </c>
      <c r="D50" s="86" t="s">
        <v>79</v>
      </c>
      <c r="E50" s="105">
        <f>(16.34+51.1+36.84+87.25)</f>
        <v>191.53</v>
      </c>
      <c r="F50" s="115">
        <v>2.4</v>
      </c>
      <c r="G50" s="106">
        <f>ROUND(F50*1.2685,2)</f>
        <v>3.04</v>
      </c>
      <c r="H50" s="107">
        <f>ROUND(G50*E50,2)</f>
        <v>582.25</v>
      </c>
    </row>
    <row r="51" spans="1:9" s="98" customFormat="1" ht="13.5" thickBot="1">
      <c r="A51" s="137" t="s">
        <v>162</v>
      </c>
      <c r="B51" s="137"/>
      <c r="C51" s="137"/>
      <c r="D51" s="137"/>
      <c r="E51" s="137"/>
      <c r="F51" s="137"/>
      <c r="G51" s="137"/>
      <c r="H51" s="119">
        <f>SUM(H50,)</f>
        <v>582.25</v>
      </c>
    </row>
    <row r="52" spans="1:9" s="98" customFormat="1" ht="13.5" thickBot="1">
      <c r="A52" s="140" t="s">
        <v>14</v>
      </c>
      <c r="B52" s="141"/>
      <c r="C52" s="141"/>
      <c r="D52" s="141"/>
      <c r="E52" s="141"/>
      <c r="F52" s="141"/>
      <c r="G52" s="142"/>
      <c r="H52" s="120">
        <f>SUM(H10,H14,H20,H24,H28,H36,H40,H45,H48,H51,)</f>
        <v>47284.92</v>
      </c>
    </row>
    <row r="53" spans="1:9" s="4" customFormat="1" ht="15" customHeight="1">
      <c r="A53" s="138" t="s">
        <v>116</v>
      </c>
      <c r="B53" s="138"/>
      <c r="C53" s="76"/>
      <c r="D53" s="87"/>
      <c r="E53" s="76"/>
      <c r="F53" s="139"/>
      <c r="G53" s="139"/>
      <c r="H53" s="139"/>
      <c r="I53" s="55"/>
    </row>
    <row r="54" spans="1:9" s="4" customFormat="1">
      <c r="A54" s="135" t="s">
        <v>167</v>
      </c>
      <c r="B54" s="135"/>
      <c r="C54" s="135"/>
      <c r="D54" s="135"/>
      <c r="E54" s="135"/>
      <c r="F54" s="135"/>
      <c r="G54" s="135"/>
      <c r="H54" s="135"/>
      <c r="I54" s="55"/>
    </row>
    <row r="55" spans="1:9" s="4" customFormat="1">
      <c r="A55" s="77"/>
      <c r="B55" s="127"/>
      <c r="C55" s="77"/>
      <c r="D55" s="88"/>
      <c r="E55" s="78"/>
      <c r="F55" s="143" t="s">
        <v>181</v>
      </c>
      <c r="G55" s="143"/>
      <c r="H55" s="143"/>
      <c r="I55" s="55"/>
    </row>
    <row r="56" spans="1:9">
      <c r="A56" s="79"/>
      <c r="B56" s="128"/>
      <c r="C56" s="80"/>
      <c r="D56" s="89"/>
      <c r="E56" s="81"/>
      <c r="F56" s="81"/>
      <c r="G56" s="81"/>
      <c r="H56" s="82"/>
      <c r="I56" s="55"/>
    </row>
    <row r="57" spans="1:9" s="54" customFormat="1">
      <c r="A57" s="77"/>
      <c r="B57" s="127"/>
      <c r="C57" s="77"/>
      <c r="D57" s="88"/>
      <c r="E57" s="78"/>
      <c r="F57" s="78"/>
      <c r="G57" s="78"/>
      <c r="H57" s="83"/>
      <c r="I57" s="55"/>
    </row>
    <row r="58" spans="1:9" s="54" customFormat="1">
      <c r="A58" s="79"/>
      <c r="B58" s="128"/>
      <c r="C58" s="80"/>
      <c r="D58" s="89"/>
      <c r="E58" s="81"/>
      <c r="F58" s="81"/>
      <c r="G58" s="81"/>
      <c r="H58" s="82"/>
      <c r="I58" s="55"/>
    </row>
    <row r="59" spans="1:9" s="54" customFormat="1">
      <c r="A59" s="77"/>
      <c r="B59" s="127"/>
      <c r="C59" s="77"/>
      <c r="D59" s="88"/>
      <c r="E59" s="78"/>
      <c r="F59" s="78"/>
      <c r="G59" s="78"/>
      <c r="H59" s="83"/>
      <c r="I59" s="55"/>
    </row>
    <row r="60" spans="1:9" s="54" customFormat="1" ht="15.75" customHeight="1">
      <c r="A60" s="79"/>
      <c r="B60" s="128"/>
      <c r="C60" s="80"/>
      <c r="D60" s="89"/>
      <c r="E60" s="81"/>
      <c r="F60" s="81"/>
      <c r="G60" s="81"/>
      <c r="H60" s="82"/>
      <c r="I60" s="55"/>
    </row>
    <row r="61" spans="1:9">
      <c r="A61" s="134" t="s">
        <v>114</v>
      </c>
      <c r="B61" s="134"/>
      <c r="C61" s="134"/>
      <c r="D61" s="134"/>
      <c r="E61" s="134"/>
      <c r="F61" s="134"/>
      <c r="G61" s="134"/>
      <c r="H61" s="134"/>
      <c r="I61" s="55"/>
    </row>
    <row r="62" spans="1:9">
      <c r="A62" s="133" t="s">
        <v>115</v>
      </c>
      <c r="B62" s="134"/>
      <c r="C62" s="134"/>
      <c r="D62" s="134"/>
      <c r="E62" s="134"/>
      <c r="F62" s="134"/>
      <c r="G62" s="134"/>
      <c r="H62" s="134"/>
      <c r="I62" s="55"/>
    </row>
    <row r="63" spans="1:9">
      <c r="A63" s="79"/>
      <c r="B63" s="128"/>
      <c r="C63" s="80"/>
      <c r="D63" s="89"/>
      <c r="E63" s="81"/>
      <c r="F63" s="81"/>
      <c r="G63" s="81"/>
      <c r="H63" s="82"/>
      <c r="I63" s="55"/>
    </row>
    <row r="64" spans="1:9">
      <c r="A64" s="55"/>
      <c r="B64" s="129"/>
      <c r="C64" s="56"/>
      <c r="D64" s="63"/>
      <c r="E64" s="57"/>
      <c r="F64" s="57"/>
      <c r="G64" s="57"/>
      <c r="H64" s="58"/>
      <c r="I64" s="55"/>
    </row>
    <row r="65" spans="1:9">
      <c r="A65" s="55"/>
      <c r="B65" s="129"/>
      <c r="C65" s="56"/>
      <c r="D65" s="63"/>
      <c r="E65" s="57"/>
      <c r="F65" s="57"/>
      <c r="G65" s="57"/>
      <c r="H65" s="58"/>
      <c r="I65" s="55"/>
    </row>
    <row r="66" spans="1:9">
      <c r="A66" s="55"/>
      <c r="B66" s="129"/>
      <c r="C66" s="56"/>
      <c r="D66" s="63"/>
      <c r="E66" s="57"/>
      <c r="F66" s="57"/>
      <c r="G66" s="57"/>
      <c r="H66" s="58"/>
      <c r="I66" s="55"/>
    </row>
  </sheetData>
  <mergeCells count="20">
    <mergeCell ref="A1:B6"/>
    <mergeCell ref="C3:C4"/>
    <mergeCell ref="A10:G10"/>
    <mergeCell ref="A40:G40"/>
    <mergeCell ref="A20:G20"/>
    <mergeCell ref="Q7:R7"/>
    <mergeCell ref="A62:H62"/>
    <mergeCell ref="A54:H54"/>
    <mergeCell ref="A24:G24"/>
    <mergeCell ref="A36:G36"/>
    <mergeCell ref="A51:G51"/>
    <mergeCell ref="A14:G14"/>
    <mergeCell ref="A48:G48"/>
    <mergeCell ref="A45:G45"/>
    <mergeCell ref="A28:G28"/>
    <mergeCell ref="A53:B53"/>
    <mergeCell ref="F53:H53"/>
    <mergeCell ref="A52:G52"/>
    <mergeCell ref="F55:H55"/>
    <mergeCell ref="A61:H61"/>
  </mergeCells>
  <printOptions horizontalCentered="1"/>
  <pageMargins left="0.27559055118110237" right="0.27559055118110237" top="0.78740157480314965" bottom="0.27559055118110237" header="0.19685039370078741" footer="0.19685039370078741"/>
  <pageSetup paperSize="274" scale="8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5"/>
  <sheetViews>
    <sheetView topLeftCell="A70" workbookViewId="0">
      <selection activeCell="C11" sqref="C11"/>
    </sheetView>
  </sheetViews>
  <sheetFormatPr defaultRowHeight="15"/>
  <cols>
    <col min="1" max="1" width="18.28515625" customWidth="1"/>
    <col min="2" max="2" width="17.28515625" customWidth="1"/>
    <col min="3" max="3" width="57" bestFit="1" customWidth="1"/>
    <col min="4" max="4" width="5.85546875" bestFit="1" customWidth="1"/>
    <col min="5" max="5" width="10.140625" style="12" customWidth="1"/>
    <col min="6" max="6" width="8.42578125" bestFit="1" customWidth="1"/>
    <col min="7" max="7" width="9.5703125" bestFit="1" customWidth="1"/>
    <col min="8" max="8" width="7.42578125" bestFit="1" customWidth="1"/>
    <col min="9" max="9" width="8.7109375" bestFit="1" customWidth="1"/>
  </cols>
  <sheetData>
    <row r="1" spans="1:8" s="7" customFormat="1" ht="75">
      <c r="A1" s="24" t="s">
        <v>32</v>
      </c>
      <c r="B1" s="24" t="s">
        <v>39</v>
      </c>
      <c r="C1" s="25" t="s">
        <v>50</v>
      </c>
      <c r="D1" s="24" t="s">
        <v>34</v>
      </c>
      <c r="E1" s="154" t="s">
        <v>35</v>
      </c>
      <c r="F1" s="154"/>
      <c r="G1" s="154"/>
      <c r="H1" s="3"/>
    </row>
    <row r="2" spans="1:8" s="7" customFormat="1" ht="45">
      <c r="A2" s="13" t="s">
        <v>36</v>
      </c>
      <c r="B2" s="14">
        <v>95726</v>
      </c>
      <c r="C2" s="15" t="s">
        <v>40</v>
      </c>
      <c r="D2" s="13" t="s">
        <v>24</v>
      </c>
      <c r="E2" s="16">
        <v>2</v>
      </c>
      <c r="F2" s="17">
        <v>4.46</v>
      </c>
      <c r="G2" s="26">
        <f t="shared" ref="G2:G9" si="0">F2*E2</f>
        <v>8.92</v>
      </c>
      <c r="H2" s="3"/>
    </row>
    <row r="3" spans="1:8" s="7" customFormat="1" ht="45">
      <c r="A3" s="13" t="s">
        <v>36</v>
      </c>
      <c r="B3" s="14">
        <v>95729</v>
      </c>
      <c r="C3" s="15" t="s">
        <v>40</v>
      </c>
      <c r="D3" s="13" t="s">
        <v>24</v>
      </c>
      <c r="E3" s="16">
        <v>2.2000000000000002</v>
      </c>
      <c r="F3" s="17">
        <v>6.39</v>
      </c>
      <c r="G3" s="26">
        <f t="shared" si="0"/>
        <v>14.058</v>
      </c>
      <c r="H3" s="3"/>
    </row>
    <row r="4" spans="1:8" s="7" customFormat="1" ht="60">
      <c r="A4" s="13" t="s">
        <v>36</v>
      </c>
      <c r="B4" s="14">
        <v>91930</v>
      </c>
      <c r="C4" s="15" t="s">
        <v>41</v>
      </c>
      <c r="D4" s="13" t="s">
        <v>24</v>
      </c>
      <c r="E4" s="16">
        <v>12.6</v>
      </c>
      <c r="F4" s="17">
        <v>5.35</v>
      </c>
      <c r="G4" s="26">
        <f t="shared" si="0"/>
        <v>67.41</v>
      </c>
      <c r="H4" s="3"/>
    </row>
    <row r="5" spans="1:8" s="7" customFormat="1" ht="30">
      <c r="A5" s="13" t="s">
        <v>36</v>
      </c>
      <c r="B5" s="14">
        <v>90436</v>
      </c>
      <c r="C5" s="15" t="s">
        <v>42</v>
      </c>
      <c r="D5" s="13" t="s">
        <v>34</v>
      </c>
      <c r="E5" s="16">
        <v>1</v>
      </c>
      <c r="F5" s="18">
        <v>12</v>
      </c>
      <c r="G5" s="26">
        <f t="shared" si="0"/>
        <v>12</v>
      </c>
      <c r="H5" s="3"/>
    </row>
    <row r="6" spans="1:8" s="7" customFormat="1" ht="30">
      <c r="A6" s="13" t="s">
        <v>43</v>
      </c>
      <c r="B6" s="14">
        <v>12010</v>
      </c>
      <c r="C6" s="15" t="s">
        <v>52</v>
      </c>
      <c r="D6" s="13" t="s">
        <v>34</v>
      </c>
      <c r="E6" s="16">
        <v>1</v>
      </c>
      <c r="F6" s="17">
        <v>6.72</v>
      </c>
      <c r="G6" s="26">
        <f t="shared" si="0"/>
        <v>6.72</v>
      </c>
      <c r="H6" s="3"/>
    </row>
    <row r="7" spans="1:8" s="7" customFormat="1">
      <c r="A7" s="13" t="s">
        <v>43</v>
      </c>
      <c r="B7" s="14">
        <v>7543</v>
      </c>
      <c r="C7" s="15" t="s">
        <v>44</v>
      </c>
      <c r="D7" s="13" t="s">
        <v>34</v>
      </c>
      <c r="E7" s="16">
        <v>1</v>
      </c>
      <c r="F7" s="17">
        <v>3.6</v>
      </c>
      <c r="G7" s="26">
        <f t="shared" si="0"/>
        <v>3.6</v>
      </c>
      <c r="H7" s="3"/>
    </row>
    <row r="8" spans="1:8" s="7" customFormat="1" ht="45">
      <c r="A8" s="13" t="s">
        <v>36</v>
      </c>
      <c r="B8" s="14">
        <v>93665</v>
      </c>
      <c r="C8" s="15" t="s">
        <v>51</v>
      </c>
      <c r="D8" s="13" t="s">
        <v>34</v>
      </c>
      <c r="E8" s="16">
        <v>1</v>
      </c>
      <c r="F8" s="17">
        <v>74.75</v>
      </c>
      <c r="G8" s="26">
        <f t="shared" si="0"/>
        <v>74.75</v>
      </c>
      <c r="H8" s="3"/>
    </row>
    <row r="9" spans="1:8" s="7" customFormat="1" ht="45">
      <c r="A9" s="13" t="s">
        <v>36</v>
      </c>
      <c r="B9" s="14" t="s">
        <v>45</v>
      </c>
      <c r="C9" s="15" t="s">
        <v>46</v>
      </c>
      <c r="D9" s="13" t="s">
        <v>34</v>
      </c>
      <c r="E9" s="16">
        <v>1</v>
      </c>
      <c r="F9" s="17">
        <v>38.96</v>
      </c>
      <c r="G9" s="26">
        <f t="shared" si="0"/>
        <v>38.96</v>
      </c>
      <c r="H9" s="2"/>
    </row>
    <row r="10" spans="1:8" s="7" customFormat="1" ht="15" customHeight="1">
      <c r="A10" s="155" t="s">
        <v>47</v>
      </c>
      <c r="B10" s="155"/>
      <c r="C10" s="155"/>
      <c r="D10" s="155"/>
      <c r="E10" s="155"/>
      <c r="F10" s="155"/>
      <c r="G10" s="26">
        <f>SUM(G2:G9)</f>
        <v>226.41800000000001</v>
      </c>
    </row>
    <row r="11" spans="1:8" s="7" customFormat="1" ht="90">
      <c r="A11" s="22" t="s">
        <v>32</v>
      </c>
      <c r="B11" s="22" t="s">
        <v>33</v>
      </c>
      <c r="C11" s="23" t="s">
        <v>77</v>
      </c>
      <c r="D11" s="22" t="s">
        <v>34</v>
      </c>
      <c r="E11" s="154" t="s">
        <v>35</v>
      </c>
      <c r="F11" s="154"/>
      <c r="G11" s="154"/>
    </row>
    <row r="12" spans="1:8" s="7" customFormat="1" ht="45">
      <c r="A12" s="13" t="s">
        <v>36</v>
      </c>
      <c r="B12" s="14">
        <v>95726</v>
      </c>
      <c r="C12" s="15" t="s">
        <v>40</v>
      </c>
      <c r="D12" s="13" t="s">
        <v>24</v>
      </c>
      <c r="E12" s="16">
        <v>2</v>
      </c>
      <c r="F12" s="17">
        <v>4.46</v>
      </c>
      <c r="G12" s="26">
        <f t="shared" ref="G12:G18" si="1">F12*E12</f>
        <v>8.92</v>
      </c>
      <c r="H12" s="3"/>
    </row>
    <row r="13" spans="1:8" s="7" customFormat="1" ht="45">
      <c r="A13" s="13" t="s">
        <v>36</v>
      </c>
      <c r="B13" s="14">
        <v>95729</v>
      </c>
      <c r="C13" s="15" t="s">
        <v>40</v>
      </c>
      <c r="D13" s="13" t="s">
        <v>24</v>
      </c>
      <c r="E13" s="16">
        <v>2.2000000000000002</v>
      </c>
      <c r="F13" s="17">
        <v>6.39</v>
      </c>
      <c r="G13" s="26">
        <f t="shared" si="1"/>
        <v>14.058</v>
      </c>
      <c r="H13" s="3"/>
    </row>
    <row r="14" spans="1:8" s="7" customFormat="1" ht="42.75">
      <c r="A14" s="19" t="s">
        <v>36</v>
      </c>
      <c r="B14" s="19">
        <v>91928</v>
      </c>
      <c r="C14" s="20" t="s">
        <v>37</v>
      </c>
      <c r="D14" s="19" t="s">
        <v>24</v>
      </c>
      <c r="E14" s="21">
        <v>12.6</v>
      </c>
      <c r="F14" s="10">
        <v>3.95</v>
      </c>
      <c r="G14" s="9">
        <f t="shared" si="1"/>
        <v>49.77</v>
      </c>
      <c r="H14" s="3"/>
    </row>
    <row r="15" spans="1:8" s="7" customFormat="1" ht="28.5">
      <c r="A15" s="19" t="s">
        <v>43</v>
      </c>
      <c r="B15" s="19">
        <v>39352</v>
      </c>
      <c r="C15" s="20" t="s">
        <v>53</v>
      </c>
      <c r="D15" s="19" t="s">
        <v>34</v>
      </c>
      <c r="E15" s="21">
        <v>1</v>
      </c>
      <c r="F15" s="10">
        <v>2.2200000000000002</v>
      </c>
      <c r="G15" s="9">
        <f t="shared" si="1"/>
        <v>2.2200000000000002</v>
      </c>
      <c r="H15" s="3"/>
    </row>
    <row r="16" spans="1:8" s="7" customFormat="1" ht="42.75">
      <c r="A16" s="19" t="s">
        <v>36</v>
      </c>
      <c r="B16" s="19" t="s">
        <v>56</v>
      </c>
      <c r="C16" s="20" t="s">
        <v>58</v>
      </c>
      <c r="D16" s="19" t="s">
        <v>34</v>
      </c>
      <c r="E16" s="21">
        <v>1</v>
      </c>
      <c r="F16" s="10">
        <v>11.97</v>
      </c>
      <c r="G16" s="9">
        <f t="shared" si="1"/>
        <v>11.97</v>
      </c>
      <c r="H16" s="3"/>
    </row>
    <row r="17" spans="1:8" s="7" customFormat="1" ht="28.5">
      <c r="A17" s="19" t="s">
        <v>36</v>
      </c>
      <c r="B17" s="19">
        <v>93663</v>
      </c>
      <c r="C17" s="20" t="s">
        <v>38</v>
      </c>
      <c r="D17" s="19" t="s">
        <v>34</v>
      </c>
      <c r="E17" s="21">
        <v>1</v>
      </c>
      <c r="F17" s="10">
        <v>69.12</v>
      </c>
      <c r="G17" s="9">
        <f t="shared" si="1"/>
        <v>69.12</v>
      </c>
      <c r="H17" s="3"/>
    </row>
    <row r="18" spans="1:8" s="7" customFormat="1" ht="42.75">
      <c r="A18" s="19" t="s">
        <v>36</v>
      </c>
      <c r="B18" s="19" t="s">
        <v>54</v>
      </c>
      <c r="C18" s="20" t="s">
        <v>55</v>
      </c>
      <c r="D18" s="19" t="s">
        <v>34</v>
      </c>
      <c r="E18" s="21">
        <v>1</v>
      </c>
      <c r="F18" s="10">
        <v>7.11</v>
      </c>
      <c r="G18" s="9">
        <f t="shared" si="1"/>
        <v>7.11</v>
      </c>
      <c r="H18" s="2"/>
    </row>
    <row r="19" spans="1:8" ht="15" customHeight="1">
      <c r="A19" s="156" t="s">
        <v>47</v>
      </c>
      <c r="B19" s="156"/>
      <c r="C19" s="156"/>
      <c r="D19" s="156"/>
      <c r="E19" s="156"/>
      <c r="F19" s="156"/>
      <c r="G19" s="9">
        <f>SUM(G12:G18)</f>
        <v>163.16800000000001</v>
      </c>
    </row>
    <row r="22" spans="1:8" ht="60">
      <c r="A22" s="24" t="s">
        <v>32</v>
      </c>
      <c r="B22" s="24" t="s">
        <v>49</v>
      </c>
      <c r="C22" s="25" t="s">
        <v>61</v>
      </c>
      <c r="D22" s="24" t="s">
        <v>34</v>
      </c>
      <c r="E22" s="157" t="s">
        <v>35</v>
      </c>
      <c r="F22" s="158"/>
      <c r="G22" s="159"/>
    </row>
    <row r="23" spans="1:8" ht="42.75">
      <c r="A23" s="30" t="s">
        <v>36</v>
      </c>
      <c r="B23" s="31">
        <v>95726</v>
      </c>
      <c r="C23" s="32" t="s">
        <v>40</v>
      </c>
      <c r="D23" s="30" t="s">
        <v>24</v>
      </c>
      <c r="E23" s="33">
        <v>2</v>
      </c>
      <c r="F23" s="9">
        <v>4.46</v>
      </c>
      <c r="G23" s="9">
        <f t="shared" ref="G23:G28" si="2">F23*E23</f>
        <v>8.92</v>
      </c>
    </row>
    <row r="24" spans="1:8" ht="42.75">
      <c r="A24" s="30" t="s">
        <v>36</v>
      </c>
      <c r="B24" s="31">
        <v>95729</v>
      </c>
      <c r="C24" s="32" t="s">
        <v>40</v>
      </c>
      <c r="D24" s="30" t="s">
        <v>24</v>
      </c>
      <c r="E24" s="33">
        <v>2.2000000000000002</v>
      </c>
      <c r="F24" s="9">
        <v>6.39</v>
      </c>
      <c r="G24" s="9">
        <f t="shared" si="2"/>
        <v>14.058</v>
      </c>
    </row>
    <row r="25" spans="1:8" ht="42.75">
      <c r="A25" s="34" t="s">
        <v>36</v>
      </c>
      <c r="B25" s="31">
        <v>91926</v>
      </c>
      <c r="C25" s="20" t="s">
        <v>48</v>
      </c>
      <c r="D25" s="19" t="s">
        <v>24</v>
      </c>
      <c r="E25" s="35">
        <v>12.6</v>
      </c>
      <c r="F25" s="9">
        <v>2.57</v>
      </c>
      <c r="G25" s="9">
        <f t="shared" si="2"/>
        <v>32.381999999999998</v>
      </c>
    </row>
    <row r="26" spans="1:8" ht="28.5">
      <c r="A26" s="30" t="s">
        <v>36</v>
      </c>
      <c r="B26" s="31">
        <v>90436</v>
      </c>
      <c r="C26" s="32" t="s">
        <v>42</v>
      </c>
      <c r="D26" s="30" t="s">
        <v>34</v>
      </c>
      <c r="E26" s="33">
        <v>1</v>
      </c>
      <c r="F26" s="8">
        <v>12</v>
      </c>
      <c r="G26" s="9">
        <f t="shared" si="2"/>
        <v>12</v>
      </c>
    </row>
    <row r="27" spans="1:8" ht="42.75">
      <c r="A27" s="30"/>
      <c r="B27" s="31" t="s">
        <v>59</v>
      </c>
      <c r="C27" s="32" t="s">
        <v>60</v>
      </c>
      <c r="D27" s="30" t="s">
        <v>34</v>
      </c>
      <c r="E27" s="33">
        <v>1</v>
      </c>
      <c r="F27" s="9">
        <v>11.97</v>
      </c>
      <c r="G27" s="9">
        <f t="shared" si="2"/>
        <v>11.97</v>
      </c>
    </row>
    <row r="28" spans="1:8" ht="42.75">
      <c r="A28" s="30" t="s">
        <v>36</v>
      </c>
      <c r="B28" s="31">
        <v>92005</v>
      </c>
      <c r="C28" s="32" t="s">
        <v>57</v>
      </c>
      <c r="D28" s="30" t="s">
        <v>34</v>
      </c>
      <c r="E28" s="33">
        <v>1</v>
      </c>
      <c r="F28" s="9">
        <v>48.96</v>
      </c>
      <c r="G28" s="9">
        <f t="shared" si="2"/>
        <v>48.96</v>
      </c>
    </row>
    <row r="29" spans="1:8" ht="15" customHeight="1">
      <c r="A29" s="151" t="s">
        <v>47</v>
      </c>
      <c r="B29" s="152"/>
      <c r="C29" s="152"/>
      <c r="D29" s="152"/>
      <c r="E29" s="152"/>
      <c r="F29" s="153"/>
      <c r="G29" s="26">
        <f>SUM(G23:G28)</f>
        <v>128.29</v>
      </c>
    </row>
    <row r="30" spans="1:8" s="7" customFormat="1">
      <c r="A30" s="28"/>
      <c r="B30" s="28"/>
      <c r="C30" s="28"/>
      <c r="D30" s="28"/>
      <c r="E30" s="28"/>
      <c r="F30" s="28"/>
      <c r="G30" s="29"/>
    </row>
    <row r="31" spans="1:8" ht="75">
      <c r="A31" s="24" t="s">
        <v>32</v>
      </c>
      <c r="B31" s="24" t="s">
        <v>62</v>
      </c>
      <c r="C31" s="25" t="s">
        <v>76</v>
      </c>
      <c r="D31" s="24" t="s">
        <v>34</v>
      </c>
      <c r="E31" s="157" t="s">
        <v>35</v>
      </c>
      <c r="F31" s="158"/>
      <c r="G31" s="159"/>
    </row>
    <row r="32" spans="1:8" ht="42.75">
      <c r="A32" s="30" t="s">
        <v>36</v>
      </c>
      <c r="B32" s="31">
        <v>95726</v>
      </c>
      <c r="C32" s="32" t="s">
        <v>40</v>
      </c>
      <c r="D32" s="30" t="s">
        <v>24</v>
      </c>
      <c r="E32" s="33">
        <v>2</v>
      </c>
      <c r="F32" s="9">
        <v>4.46</v>
      </c>
      <c r="G32" s="9">
        <f t="shared" ref="G32:G37" si="3">F32*E32</f>
        <v>8.92</v>
      </c>
    </row>
    <row r="33" spans="1:7" ht="42.75">
      <c r="A33" s="30" t="s">
        <v>36</v>
      </c>
      <c r="B33" s="31">
        <v>95729</v>
      </c>
      <c r="C33" s="32" t="s">
        <v>40</v>
      </c>
      <c r="D33" s="30" t="s">
        <v>24</v>
      </c>
      <c r="E33" s="33">
        <v>2.2000000000000002</v>
      </c>
      <c r="F33" s="9">
        <v>6.39</v>
      </c>
      <c r="G33" s="9">
        <f t="shared" si="3"/>
        <v>14.058</v>
      </c>
    </row>
    <row r="34" spans="1:7" ht="42.75">
      <c r="A34" s="34" t="s">
        <v>36</v>
      </c>
      <c r="B34" s="31">
        <v>91926</v>
      </c>
      <c r="C34" s="20" t="s">
        <v>48</v>
      </c>
      <c r="D34" s="19" t="s">
        <v>24</v>
      </c>
      <c r="E34" s="35">
        <v>12.6</v>
      </c>
      <c r="F34" s="9">
        <v>2.57</v>
      </c>
      <c r="G34" s="9">
        <f t="shared" si="3"/>
        <v>32.381999999999998</v>
      </c>
    </row>
    <row r="35" spans="1:7" ht="28.5">
      <c r="A35" s="30" t="s">
        <v>36</v>
      </c>
      <c r="B35" s="31">
        <v>90436</v>
      </c>
      <c r="C35" s="32" t="s">
        <v>42</v>
      </c>
      <c r="D35" s="30" t="s">
        <v>34</v>
      </c>
      <c r="E35" s="33">
        <v>1</v>
      </c>
      <c r="F35" s="8">
        <v>12</v>
      </c>
      <c r="G35" s="9">
        <f t="shared" si="3"/>
        <v>12</v>
      </c>
    </row>
    <row r="36" spans="1:7" ht="42.75">
      <c r="A36" s="30"/>
      <c r="B36" s="31" t="s">
        <v>59</v>
      </c>
      <c r="C36" s="32" t="s">
        <v>60</v>
      </c>
      <c r="D36" s="30" t="s">
        <v>34</v>
      </c>
      <c r="E36" s="33">
        <v>1</v>
      </c>
      <c r="F36" s="9">
        <v>11.97</v>
      </c>
      <c r="G36" s="9">
        <f t="shared" si="3"/>
        <v>11.97</v>
      </c>
    </row>
    <row r="37" spans="1:7" ht="42.75">
      <c r="A37" s="30" t="s">
        <v>36</v>
      </c>
      <c r="B37" s="31" t="s">
        <v>74</v>
      </c>
      <c r="C37" s="32" t="s">
        <v>75</v>
      </c>
      <c r="D37" s="30" t="s">
        <v>34</v>
      </c>
      <c r="E37" s="33">
        <v>1</v>
      </c>
      <c r="F37" s="9">
        <v>22.05</v>
      </c>
      <c r="G37" s="9">
        <f t="shared" si="3"/>
        <v>22.05</v>
      </c>
    </row>
    <row r="38" spans="1:7" ht="15" customHeight="1">
      <c r="A38" s="151" t="s">
        <v>47</v>
      </c>
      <c r="B38" s="152"/>
      <c r="C38" s="152"/>
      <c r="D38" s="152"/>
      <c r="E38" s="152"/>
      <c r="F38" s="153"/>
      <c r="G38" s="26">
        <f>SUM(G32:G37)</f>
        <v>101.38</v>
      </c>
    </row>
    <row r="40" spans="1:7" ht="75">
      <c r="A40" s="24" t="s">
        <v>32</v>
      </c>
      <c r="B40" s="24" t="s">
        <v>63</v>
      </c>
      <c r="C40" s="25" t="s">
        <v>71</v>
      </c>
      <c r="D40" s="24" t="s">
        <v>34</v>
      </c>
      <c r="E40" s="157" t="s">
        <v>35</v>
      </c>
      <c r="F40" s="158"/>
      <c r="G40" s="159"/>
    </row>
    <row r="41" spans="1:7" ht="42.75">
      <c r="A41" s="30" t="s">
        <v>36</v>
      </c>
      <c r="B41" s="31">
        <v>95726</v>
      </c>
      <c r="C41" s="32" t="s">
        <v>40</v>
      </c>
      <c r="D41" s="30" t="s">
        <v>24</v>
      </c>
      <c r="E41" s="33">
        <v>2</v>
      </c>
      <c r="F41" s="9">
        <v>4.46</v>
      </c>
      <c r="G41" s="9">
        <f t="shared" ref="G41:G46" si="4">F41*E41</f>
        <v>8.92</v>
      </c>
    </row>
    <row r="42" spans="1:7" ht="42.75">
      <c r="A42" s="30" t="s">
        <v>36</v>
      </c>
      <c r="B42" s="31">
        <v>95729</v>
      </c>
      <c r="C42" s="32" t="s">
        <v>40</v>
      </c>
      <c r="D42" s="30" t="s">
        <v>24</v>
      </c>
      <c r="E42" s="33">
        <v>2.2000000000000002</v>
      </c>
      <c r="F42" s="9">
        <v>6.39</v>
      </c>
      <c r="G42" s="9">
        <f t="shared" si="4"/>
        <v>14.058</v>
      </c>
    </row>
    <row r="43" spans="1:7" ht="42.75">
      <c r="A43" s="30" t="s">
        <v>36</v>
      </c>
      <c r="B43" s="31">
        <v>91926</v>
      </c>
      <c r="C43" s="20" t="s">
        <v>48</v>
      </c>
      <c r="D43" s="19" t="s">
        <v>24</v>
      </c>
      <c r="E43" s="33">
        <v>12.6</v>
      </c>
      <c r="F43" s="9">
        <v>2.57</v>
      </c>
      <c r="G43" s="9">
        <f t="shared" si="4"/>
        <v>32.381999999999998</v>
      </c>
    </row>
    <row r="44" spans="1:7" ht="28.5">
      <c r="A44" s="30" t="s">
        <v>36</v>
      </c>
      <c r="B44" s="31">
        <v>90436</v>
      </c>
      <c r="C44" s="32" t="s">
        <v>42</v>
      </c>
      <c r="D44" s="30" t="s">
        <v>34</v>
      </c>
      <c r="E44" s="33">
        <v>1</v>
      </c>
      <c r="F44" s="8">
        <v>12</v>
      </c>
      <c r="G44" s="9">
        <f t="shared" si="4"/>
        <v>12</v>
      </c>
    </row>
    <row r="45" spans="1:7" ht="42.75">
      <c r="A45" s="30"/>
      <c r="B45" s="31" t="s">
        <v>59</v>
      </c>
      <c r="C45" s="32" t="s">
        <v>60</v>
      </c>
      <c r="D45" s="30" t="s">
        <v>34</v>
      </c>
      <c r="E45" s="33">
        <v>1</v>
      </c>
      <c r="F45" s="9">
        <v>11.97</v>
      </c>
      <c r="G45" s="9">
        <f t="shared" si="4"/>
        <v>11.97</v>
      </c>
    </row>
    <row r="46" spans="1:7" ht="42.75">
      <c r="A46" s="30" t="s">
        <v>36</v>
      </c>
      <c r="B46" s="31" t="s">
        <v>69</v>
      </c>
      <c r="C46" s="32" t="s">
        <v>70</v>
      </c>
      <c r="D46" s="30" t="s">
        <v>34</v>
      </c>
      <c r="E46" s="33">
        <v>1</v>
      </c>
      <c r="F46" s="9">
        <v>13.66</v>
      </c>
      <c r="G46" s="9">
        <f t="shared" si="4"/>
        <v>13.66</v>
      </c>
    </row>
    <row r="47" spans="1:7" ht="15" customHeight="1">
      <c r="A47" s="151" t="s">
        <v>47</v>
      </c>
      <c r="B47" s="152"/>
      <c r="C47" s="152"/>
      <c r="D47" s="152"/>
      <c r="E47" s="152"/>
      <c r="F47" s="153"/>
      <c r="G47" s="26">
        <f>SUM(G41:G46)</f>
        <v>92.99</v>
      </c>
    </row>
    <row r="48" spans="1:7">
      <c r="C48" s="27"/>
    </row>
    <row r="49" spans="1:9" ht="60">
      <c r="A49" s="24" t="s">
        <v>32</v>
      </c>
      <c r="B49" s="24" t="s">
        <v>64</v>
      </c>
      <c r="C49" s="25" t="s">
        <v>61</v>
      </c>
      <c r="D49" s="24" t="s">
        <v>34</v>
      </c>
      <c r="E49" s="157" t="s">
        <v>35</v>
      </c>
      <c r="F49" s="158"/>
      <c r="G49" s="159"/>
    </row>
    <row r="50" spans="1:9" ht="42.75">
      <c r="A50" s="30" t="s">
        <v>36</v>
      </c>
      <c r="B50" s="31">
        <v>95726</v>
      </c>
      <c r="C50" s="32" t="s">
        <v>40</v>
      </c>
      <c r="D50" s="30" t="s">
        <v>24</v>
      </c>
      <c r="E50" s="33">
        <v>2</v>
      </c>
      <c r="F50" s="9">
        <v>4.46</v>
      </c>
      <c r="G50" s="9">
        <f t="shared" ref="G50:G55" si="5">F50*E50</f>
        <v>8.92</v>
      </c>
    </row>
    <row r="51" spans="1:9" ht="42.75">
      <c r="A51" s="30" t="s">
        <v>36</v>
      </c>
      <c r="B51" s="31">
        <v>95729</v>
      </c>
      <c r="C51" s="32" t="s">
        <v>40</v>
      </c>
      <c r="D51" s="30" t="s">
        <v>24</v>
      </c>
      <c r="E51" s="33">
        <v>2.2000000000000002</v>
      </c>
      <c r="F51" s="9">
        <v>6.39</v>
      </c>
      <c r="G51" s="9">
        <f t="shared" si="5"/>
        <v>14.058</v>
      </c>
    </row>
    <row r="52" spans="1:9" ht="42.75">
      <c r="A52" s="34" t="s">
        <v>36</v>
      </c>
      <c r="B52" s="31">
        <v>91926</v>
      </c>
      <c r="C52" s="20" t="s">
        <v>48</v>
      </c>
      <c r="D52" s="19" t="s">
        <v>24</v>
      </c>
      <c r="E52" s="35">
        <v>12.6</v>
      </c>
      <c r="F52" s="9">
        <v>2.57</v>
      </c>
      <c r="G52" s="9">
        <f t="shared" si="5"/>
        <v>32.381999999999998</v>
      </c>
    </row>
    <row r="53" spans="1:9" ht="28.5">
      <c r="A53" s="30" t="s">
        <v>36</v>
      </c>
      <c r="B53" s="31">
        <v>90436</v>
      </c>
      <c r="C53" s="32" t="s">
        <v>42</v>
      </c>
      <c r="D53" s="30" t="s">
        <v>34</v>
      </c>
      <c r="E53" s="33">
        <v>1</v>
      </c>
      <c r="F53" s="8">
        <v>12</v>
      </c>
      <c r="G53" s="9">
        <f t="shared" si="5"/>
        <v>12</v>
      </c>
    </row>
    <row r="54" spans="1:9" ht="42.75">
      <c r="A54" s="30"/>
      <c r="B54" s="31" t="s">
        <v>67</v>
      </c>
      <c r="C54" s="32" t="s">
        <v>68</v>
      </c>
      <c r="D54" s="30" t="s">
        <v>34</v>
      </c>
      <c r="E54" s="33">
        <v>1</v>
      </c>
      <c r="F54" s="9">
        <v>11.97</v>
      </c>
      <c r="G54" s="9">
        <f t="shared" si="5"/>
        <v>11.97</v>
      </c>
    </row>
    <row r="55" spans="1:9" ht="42.75">
      <c r="A55" s="30"/>
      <c r="B55" s="31" t="s">
        <v>65</v>
      </c>
      <c r="C55" s="32" t="s">
        <v>66</v>
      </c>
      <c r="D55" s="30" t="s">
        <v>34</v>
      </c>
      <c r="E55" s="33">
        <v>1</v>
      </c>
      <c r="F55" s="9">
        <v>24.75</v>
      </c>
      <c r="G55" s="9">
        <f t="shared" si="5"/>
        <v>24.75</v>
      </c>
    </row>
    <row r="56" spans="1:9" ht="15" customHeight="1">
      <c r="A56" s="151" t="s">
        <v>47</v>
      </c>
      <c r="B56" s="152"/>
      <c r="C56" s="152"/>
      <c r="D56" s="152"/>
      <c r="E56" s="152"/>
      <c r="F56" s="153"/>
      <c r="G56" s="26">
        <f>SUM(G50:G55)</f>
        <v>104.08</v>
      </c>
    </row>
    <row r="59" spans="1:9" ht="75">
      <c r="A59" s="24" t="s">
        <v>32</v>
      </c>
      <c r="B59" s="24" t="s">
        <v>72</v>
      </c>
      <c r="C59" s="25" t="s">
        <v>73</v>
      </c>
      <c r="D59" s="24" t="s">
        <v>34</v>
      </c>
      <c r="E59" s="157" t="s">
        <v>35</v>
      </c>
      <c r="F59" s="158"/>
      <c r="G59" s="159"/>
    </row>
    <row r="60" spans="1:9" ht="42.75">
      <c r="A60" s="30" t="s">
        <v>36</v>
      </c>
      <c r="B60" s="31">
        <v>95726</v>
      </c>
      <c r="C60" s="32" t="s">
        <v>40</v>
      </c>
      <c r="D60" s="30" t="s">
        <v>24</v>
      </c>
      <c r="E60" s="33">
        <v>2</v>
      </c>
      <c r="F60" s="9">
        <v>4.46</v>
      </c>
      <c r="G60" s="9">
        <f>F60*E60</f>
        <v>8.92</v>
      </c>
    </row>
    <row r="61" spans="1:9" ht="42.75">
      <c r="A61" s="30" t="s">
        <v>36</v>
      </c>
      <c r="B61" s="31">
        <v>95729</v>
      </c>
      <c r="C61" s="32" t="s">
        <v>40</v>
      </c>
      <c r="D61" s="30" t="s">
        <v>24</v>
      </c>
      <c r="E61" s="33">
        <v>2.2000000000000002</v>
      </c>
      <c r="F61" s="9">
        <v>6.39</v>
      </c>
      <c r="G61" s="9">
        <f>F61*E61</f>
        <v>14.058</v>
      </c>
    </row>
    <row r="62" spans="1:9" ht="42.75">
      <c r="A62" s="34" t="s">
        <v>36</v>
      </c>
      <c r="B62" s="31">
        <v>91926</v>
      </c>
      <c r="C62" s="20" t="s">
        <v>48</v>
      </c>
      <c r="D62" s="19" t="s">
        <v>24</v>
      </c>
      <c r="E62" s="35">
        <v>8</v>
      </c>
      <c r="F62" s="9">
        <v>2.57</v>
      </c>
      <c r="G62" s="9">
        <f>F62*E62</f>
        <v>20.56</v>
      </c>
    </row>
    <row r="63" spans="1:9" ht="28.5">
      <c r="A63" s="30" t="s">
        <v>36</v>
      </c>
      <c r="B63" s="31">
        <v>90436</v>
      </c>
      <c r="C63" s="32" t="s">
        <v>42</v>
      </c>
      <c r="D63" s="30" t="s">
        <v>34</v>
      </c>
      <c r="E63" s="33">
        <v>1</v>
      </c>
      <c r="F63" s="8">
        <v>12</v>
      </c>
      <c r="G63" s="9">
        <f>F63*E63</f>
        <v>12</v>
      </c>
      <c r="I63" s="11"/>
    </row>
    <row r="64" spans="1:9" ht="42.75">
      <c r="A64" s="19" t="s">
        <v>36</v>
      </c>
      <c r="B64" s="19" t="s">
        <v>56</v>
      </c>
      <c r="C64" s="20" t="s">
        <v>58</v>
      </c>
      <c r="D64" s="19" t="s">
        <v>34</v>
      </c>
      <c r="E64" s="21">
        <v>1</v>
      </c>
      <c r="F64" s="10">
        <v>11.97</v>
      </c>
      <c r="G64" s="9">
        <f>F64*E64</f>
        <v>11.97</v>
      </c>
      <c r="I64" s="11"/>
    </row>
    <row r="65" spans="1:7">
      <c r="A65" s="151" t="s">
        <v>47</v>
      </c>
      <c r="B65" s="152"/>
      <c r="C65" s="152"/>
      <c r="D65" s="152"/>
      <c r="E65" s="152"/>
      <c r="F65" s="153"/>
      <c r="G65" s="26">
        <f>SUM(G60:G64)</f>
        <v>67.507999999999996</v>
      </c>
    </row>
  </sheetData>
  <mergeCells count="14">
    <mergeCell ref="A65:F65"/>
    <mergeCell ref="E1:G1"/>
    <mergeCell ref="E11:G11"/>
    <mergeCell ref="A10:F10"/>
    <mergeCell ref="A19:F19"/>
    <mergeCell ref="E59:G59"/>
    <mergeCell ref="A47:F47"/>
    <mergeCell ref="E49:G49"/>
    <mergeCell ref="A56:F56"/>
    <mergeCell ref="E22:G22"/>
    <mergeCell ref="A29:F29"/>
    <mergeCell ref="E31:G31"/>
    <mergeCell ref="A38:F38"/>
    <mergeCell ref="E40:G40"/>
  </mergeCells>
  <pageMargins left="0.511811024" right="0.511811024" top="0.78740157499999996" bottom="0.78740157499999996" header="0.31496062000000002" footer="0.31496062000000002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8"/>
  <sheetViews>
    <sheetView workbookViewId="0">
      <selection activeCell="M6" sqref="M6"/>
    </sheetView>
  </sheetViews>
  <sheetFormatPr defaultRowHeight="15"/>
  <cols>
    <col min="1" max="1" width="14.85546875" style="6" bestFit="1" customWidth="1"/>
    <col min="2" max="2" width="9.140625" style="6"/>
    <col min="3" max="3" width="9.7109375" customWidth="1"/>
    <col min="4" max="4" width="14.85546875" style="6" bestFit="1" customWidth="1"/>
    <col min="5" max="5" width="9.7109375" style="6" customWidth="1"/>
    <col min="6" max="6" width="11.42578125" style="6" customWidth="1"/>
    <col min="7" max="7" width="14.85546875" style="6" bestFit="1" customWidth="1"/>
    <col min="8" max="8" width="11.42578125" style="6" customWidth="1"/>
    <col min="9" max="9" width="10.85546875" style="6" customWidth="1"/>
    <col min="11" max="11" width="10" bestFit="1" customWidth="1"/>
    <col min="13" max="13" width="11" customWidth="1"/>
  </cols>
  <sheetData>
    <row r="1" spans="1:13" s="37" customFormat="1" ht="15.75" thickBot="1">
      <c r="A1" s="163" t="s">
        <v>100</v>
      </c>
      <c r="B1" s="164"/>
      <c r="C1" s="164"/>
      <c r="D1" s="164"/>
      <c r="E1" s="164"/>
      <c r="F1" s="164"/>
      <c r="G1" s="164"/>
      <c r="H1" s="164"/>
      <c r="I1" s="165"/>
    </row>
    <row r="2" spans="1:13" ht="15.75" thickBot="1">
      <c r="A2" s="160" t="s">
        <v>94</v>
      </c>
      <c r="B2" s="161"/>
      <c r="C2" s="162"/>
      <c r="D2" s="160" t="s">
        <v>117</v>
      </c>
      <c r="E2" s="161"/>
      <c r="F2" s="162"/>
      <c r="G2" s="163" t="s">
        <v>95</v>
      </c>
      <c r="H2" s="164"/>
      <c r="I2" s="165"/>
      <c r="K2" s="166" t="s">
        <v>104</v>
      </c>
      <c r="L2" s="166"/>
      <c r="M2" s="166"/>
    </row>
    <row r="3" spans="1:13" ht="15.75" thickBot="1">
      <c r="A3" s="46" t="s">
        <v>97</v>
      </c>
      <c r="B3" s="47" t="s">
        <v>96</v>
      </c>
      <c r="C3" s="48" t="s">
        <v>98</v>
      </c>
      <c r="D3" s="46" t="s">
        <v>97</v>
      </c>
      <c r="E3" s="47" t="s">
        <v>96</v>
      </c>
      <c r="F3" s="49" t="s">
        <v>98</v>
      </c>
      <c r="G3" s="46" t="s">
        <v>97</v>
      </c>
      <c r="H3" s="47" t="s">
        <v>96</v>
      </c>
      <c r="I3" s="49" t="s">
        <v>98</v>
      </c>
      <c r="J3" s="37">
        <v>88423</v>
      </c>
      <c r="K3" s="52" t="s">
        <v>101</v>
      </c>
      <c r="L3">
        <v>14.82</v>
      </c>
      <c r="M3" s="6">
        <f>I18*L3</f>
        <v>804.28139999999996</v>
      </c>
    </row>
    <row r="4" spans="1:13">
      <c r="A4" s="38">
        <f>0.2*3</f>
        <v>0.60000000000000009</v>
      </c>
      <c r="B4" s="39">
        <v>3.3</v>
      </c>
      <c r="C4" s="40">
        <f t="shared" ref="C4:C5" si="0">A4*B4</f>
        <v>1.9800000000000002</v>
      </c>
      <c r="D4" s="38">
        <v>6.3</v>
      </c>
      <c r="E4" s="39">
        <v>3</v>
      </c>
      <c r="F4" s="41">
        <f t="shared" ref="F4:F7" si="1">D4*E4</f>
        <v>18.899999999999999</v>
      </c>
      <c r="G4" s="38"/>
      <c r="H4" s="39"/>
      <c r="I4" s="41"/>
      <c r="J4" s="37" t="s">
        <v>105</v>
      </c>
      <c r="K4" s="53" t="s">
        <v>102</v>
      </c>
      <c r="L4" s="6">
        <f>5.02*1.0589</f>
        <v>5.3156779999999992</v>
      </c>
      <c r="M4" s="6">
        <f>I18*L4</f>
        <v>288.48184505999996</v>
      </c>
    </row>
    <row r="5" spans="1:13">
      <c r="A5" s="38">
        <f>0.2*3</f>
        <v>0.60000000000000009</v>
      </c>
      <c r="B5" s="39">
        <f>0.4*2</f>
        <v>0.8</v>
      </c>
      <c r="C5" s="41">
        <f t="shared" si="0"/>
        <v>0.48000000000000009</v>
      </c>
      <c r="D5" s="38">
        <v>6.3</v>
      </c>
      <c r="E5" s="39">
        <v>3</v>
      </c>
      <c r="F5" s="41">
        <f t="shared" si="1"/>
        <v>18.899999999999999</v>
      </c>
      <c r="G5" s="38"/>
      <c r="H5" s="39"/>
      <c r="I5" s="41"/>
      <c r="J5" s="37">
        <v>88415</v>
      </c>
      <c r="K5" s="53" t="s">
        <v>103</v>
      </c>
      <c r="L5">
        <v>2.2200000000000002</v>
      </c>
      <c r="M5" s="6">
        <f>I18*L5</f>
        <v>120.4794</v>
      </c>
    </row>
    <row r="6" spans="1:13">
      <c r="A6" s="38"/>
      <c r="B6" s="39"/>
      <c r="C6" s="41"/>
      <c r="D6" s="38">
        <v>4</v>
      </c>
      <c r="E6" s="39">
        <v>3</v>
      </c>
      <c r="F6" s="41">
        <f t="shared" si="1"/>
        <v>12</v>
      </c>
      <c r="G6" s="38"/>
      <c r="H6" s="39"/>
      <c r="I6" s="41"/>
      <c r="L6" s="37" t="s">
        <v>98</v>
      </c>
      <c r="M6" s="6">
        <f>SUM(M3,M4,M5)</f>
        <v>1213.2426450599999</v>
      </c>
    </row>
    <row r="7" spans="1:13">
      <c r="A7" s="38"/>
      <c r="B7" s="39"/>
      <c r="C7" s="41"/>
      <c r="D7" s="38">
        <v>4</v>
      </c>
      <c r="E7" s="39">
        <v>3</v>
      </c>
      <c r="F7" s="41">
        <f t="shared" si="1"/>
        <v>12</v>
      </c>
      <c r="G7" s="38"/>
      <c r="H7" s="39"/>
      <c r="I7" s="41"/>
    </row>
    <row r="8" spans="1:13">
      <c r="A8" s="38"/>
      <c r="B8" s="39"/>
      <c r="C8" s="41"/>
      <c r="D8" s="38"/>
      <c r="E8" s="39"/>
      <c r="F8" s="41"/>
      <c r="G8" s="38"/>
      <c r="H8" s="39"/>
      <c r="I8" s="41"/>
    </row>
    <row r="9" spans="1:13">
      <c r="A9" s="38"/>
      <c r="B9" s="39"/>
      <c r="C9" s="41"/>
      <c r="D9" s="38"/>
      <c r="E9" s="39"/>
      <c r="F9" s="41"/>
      <c r="G9" s="38"/>
      <c r="H9" s="39"/>
      <c r="I9" s="41"/>
    </row>
    <row r="10" spans="1:13">
      <c r="A10" s="38"/>
      <c r="B10" s="39"/>
      <c r="C10" s="41"/>
      <c r="D10" s="38"/>
      <c r="E10" s="39"/>
      <c r="F10" s="41"/>
      <c r="G10" s="38"/>
      <c r="H10" s="39"/>
      <c r="I10" s="41"/>
    </row>
    <row r="11" spans="1:13">
      <c r="A11" s="38"/>
      <c r="B11" s="39"/>
      <c r="C11" s="40"/>
      <c r="D11" s="38"/>
      <c r="E11" s="39"/>
      <c r="F11" s="41"/>
      <c r="G11" s="38"/>
      <c r="H11" s="39"/>
      <c r="I11" s="41"/>
    </row>
    <row r="12" spans="1:13">
      <c r="A12" s="38"/>
      <c r="B12" s="39"/>
      <c r="C12" s="40"/>
      <c r="D12" s="38"/>
      <c r="E12" s="39"/>
      <c r="F12" s="41"/>
      <c r="G12" s="38"/>
      <c r="H12" s="39"/>
      <c r="I12" s="41"/>
    </row>
    <row r="13" spans="1:13">
      <c r="A13" s="38"/>
      <c r="B13" s="39"/>
      <c r="C13" s="40"/>
      <c r="D13" s="38"/>
      <c r="E13" s="39"/>
      <c r="F13" s="41"/>
      <c r="G13" s="38"/>
      <c r="H13" s="39"/>
      <c r="I13" s="41"/>
    </row>
    <row r="14" spans="1:13" ht="15.75" thickBot="1">
      <c r="A14" s="39"/>
      <c r="B14" s="39"/>
      <c r="C14" s="44"/>
      <c r="D14" s="39"/>
      <c r="E14" s="39"/>
      <c r="F14" s="45"/>
      <c r="G14" s="39"/>
      <c r="H14" s="39"/>
      <c r="I14" s="45"/>
    </row>
    <row r="15" spans="1:13" ht="15.75" thickBot="1">
      <c r="A15" s="43" t="s">
        <v>98</v>
      </c>
      <c r="B15" s="43"/>
      <c r="C15" s="50">
        <f>SUM(C4:C14)</f>
        <v>2.4600000000000004</v>
      </c>
      <c r="D15" s="43" t="s">
        <v>98</v>
      </c>
      <c r="E15" s="43"/>
      <c r="F15" s="51">
        <f>SUM(F4:F14)</f>
        <v>61.8</v>
      </c>
      <c r="G15" s="43" t="s">
        <v>98</v>
      </c>
      <c r="H15" s="43"/>
      <c r="I15" s="51">
        <f>SUM(I4:I14)</f>
        <v>0</v>
      </c>
    </row>
    <row r="16" spans="1:13" s="37" customFormat="1" ht="15.75" thickBot="1">
      <c r="A16" s="38">
        <v>0</v>
      </c>
      <c r="B16" s="39">
        <v>0</v>
      </c>
      <c r="C16" s="39">
        <f>SUM(A16:B16)</f>
        <v>0</v>
      </c>
      <c r="D16" s="38">
        <f>2.1*0.9*3</f>
        <v>5.67</v>
      </c>
      <c r="E16" s="39">
        <f>3.6*1.2</f>
        <v>4.32</v>
      </c>
      <c r="F16" s="41">
        <f>SUM(D16:E16)</f>
        <v>9.99</v>
      </c>
      <c r="G16" s="39"/>
      <c r="H16" s="39"/>
      <c r="I16" s="41"/>
    </row>
    <row r="17" spans="1:9" s="37" customFormat="1" ht="15.75" thickBot="1">
      <c r="A17" s="42"/>
      <c r="B17" s="43"/>
      <c r="C17" s="51">
        <f>SUM(C15-C16)</f>
        <v>2.4600000000000004</v>
      </c>
      <c r="D17" s="42"/>
      <c r="E17" s="43"/>
      <c r="F17" s="51">
        <f>SUM(F15-F16)</f>
        <v>51.809999999999995</v>
      </c>
      <c r="G17" s="43"/>
      <c r="H17" s="43"/>
      <c r="I17" s="51"/>
    </row>
    <row r="18" spans="1:9" ht="15.75" thickBot="1">
      <c r="A18" s="42"/>
      <c r="B18" s="43"/>
      <c r="C18" s="36"/>
      <c r="D18" s="43"/>
      <c r="E18" s="43"/>
      <c r="F18" s="43"/>
      <c r="G18" s="43"/>
      <c r="H18" s="43" t="s">
        <v>99</v>
      </c>
      <c r="I18" s="45">
        <f>SUM(C17,F17,I17)</f>
        <v>54.269999999999996</v>
      </c>
    </row>
  </sheetData>
  <mergeCells count="5">
    <mergeCell ref="A2:C2"/>
    <mergeCell ref="D2:F2"/>
    <mergeCell ref="G2:I2"/>
    <mergeCell ref="A1:I1"/>
    <mergeCell ref="K2:M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Plan1</vt:lpstr>
      <vt:lpstr>Plan2</vt:lpstr>
      <vt:lpstr>PINTURA</vt:lpstr>
      <vt:lpstr>Plan1!Area_de_impressao</vt:lpstr>
      <vt:lpstr>Plan2!Area_de_impressao</vt:lpstr>
      <vt:lpstr>Plan1!Titulos_de_impressao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estagioeduca01</dc:creator>
  <cp:lastModifiedBy>Michele Cristina da Silva Alves</cp:lastModifiedBy>
  <cp:lastPrinted>2018-07-05T14:50:47Z</cp:lastPrinted>
  <dcterms:created xsi:type="dcterms:W3CDTF">2018-03-13T17:21:47Z</dcterms:created>
  <dcterms:modified xsi:type="dcterms:W3CDTF">2018-07-05T14:51:01Z</dcterms:modified>
</cp:coreProperties>
</file>