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embeddings/oleObject1.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105" windowWidth="19320" windowHeight="9780"/>
  </bookViews>
  <sheets>
    <sheet name="Orçamento" sheetId="1" r:id="rId1"/>
    <sheet name="Quantitativo " sheetId="2" r:id="rId2"/>
    <sheet name="Composição" sheetId="3" state="hidden" r:id="rId3"/>
    <sheet name="CRONOGRAMA" sheetId="4" r:id="rId4"/>
  </sheets>
  <externalReferences>
    <externalReference r:id="rId5"/>
  </externalReferences>
  <definedNames>
    <definedName name="_xlnm.Print_Area" localSheetId="3">CRONOGRAMA!$A$1:$Y$43</definedName>
    <definedName name="_xlnm.Print_Area" localSheetId="0">Orçamento!$B$1:$I$284</definedName>
    <definedName name="_xlnm.Print_Area" localSheetId="1">'Quantitativo '!$I$108:$M$156</definedName>
  </definedNames>
  <calcPr calcId="124519"/>
</workbook>
</file>

<file path=xl/calcChain.xml><?xml version="1.0" encoding="utf-8"?>
<calcChain xmlns="http://schemas.openxmlformats.org/spreadsheetml/2006/main">
  <c r="G224" i="1"/>
  <c r="G91"/>
  <c r="G70"/>
  <c r="I24"/>
  <c r="F11"/>
  <c r="H27"/>
  <c r="I27" s="1"/>
  <c r="F27"/>
  <c r="I26"/>
  <c r="H26"/>
  <c r="G26"/>
  <c r="G27"/>
  <c r="H263"/>
  <c r="I263" s="1"/>
  <c r="H262"/>
  <c r="I262" s="1"/>
  <c r="F90"/>
  <c r="F89"/>
  <c r="I101" i="2"/>
  <c r="G66" i="1"/>
  <c r="G67"/>
  <c r="F37" l="1"/>
  <c r="F32"/>
  <c r="F31"/>
  <c r="D300" i="2"/>
  <c r="D301"/>
  <c r="D302"/>
  <c r="F25" i="1"/>
  <c r="G35"/>
  <c r="H35" s="1"/>
  <c r="G33"/>
  <c r="G32"/>
  <c r="F78" i="3" s="1"/>
  <c r="G78" s="1"/>
  <c r="F35" i="1"/>
  <c r="E78" i="3"/>
  <c r="F77"/>
  <c r="G77" s="1"/>
  <c r="E77"/>
  <c r="G29" i="1"/>
  <c r="F76" i="3" s="1"/>
  <c r="G76" s="1"/>
  <c r="E76"/>
  <c r="J279" i="2"/>
  <c r="J278"/>
  <c r="J277"/>
  <c r="J276"/>
  <c r="J275"/>
  <c r="J274"/>
  <c r="I279"/>
  <c r="I278"/>
  <c r="I277"/>
  <c r="I276"/>
  <c r="I275"/>
  <c r="I274"/>
  <c r="K279"/>
  <c r="K275"/>
  <c r="K274"/>
  <c r="D305"/>
  <c r="D310" s="1"/>
  <c r="D313" s="1"/>
  <c r="D297"/>
  <c r="D296"/>
  <c r="G297"/>
  <c r="D299"/>
  <c r="D303"/>
  <c r="D295"/>
  <c r="D309"/>
  <c r="K280"/>
  <c r="K278"/>
  <c r="K277"/>
  <c r="K276"/>
  <c r="H17" i="1"/>
  <c r="I17" s="1"/>
  <c r="I35" l="1"/>
  <c r="G79" i="3"/>
  <c r="J280" i="2"/>
  <c r="I280"/>
  <c r="H274"/>
  <c r="H279"/>
  <c r="H278"/>
  <c r="H277"/>
  <c r="H276"/>
  <c r="H275"/>
  <c r="H280" l="1"/>
  <c r="G260" i="1"/>
  <c r="H249"/>
  <c r="I249" s="1"/>
  <c r="H176"/>
  <c r="F176"/>
  <c r="I176" l="1"/>
  <c r="F175"/>
  <c r="H241"/>
  <c r="I241" s="1"/>
  <c r="F84"/>
  <c r="F83"/>
  <c r="G183"/>
  <c r="G156"/>
  <c r="G155"/>
  <c r="G151"/>
  <c r="G150"/>
  <c r="G144"/>
  <c r="G143"/>
  <c r="G105"/>
  <c r="G104"/>
  <c r="G103"/>
  <c r="G102"/>
  <c r="G75"/>
  <c r="G54"/>
  <c r="G53"/>
  <c r="G52"/>
  <c r="H52" s="1"/>
  <c r="I52" s="1"/>
  <c r="G51"/>
  <c r="H51" s="1"/>
  <c r="G50"/>
  <c r="G49"/>
  <c r="G48"/>
  <c r="G14"/>
  <c r="G207"/>
  <c r="G184"/>
  <c r="G211"/>
  <c r="G221"/>
  <c r="G222"/>
  <c r="G225"/>
  <c r="G226"/>
  <c r="G234"/>
  <c r="G254"/>
  <c r="G253"/>
  <c r="G255"/>
  <c r="G259"/>
  <c r="G266"/>
  <c r="G267"/>
  <c r="G269"/>
  <c r="G268"/>
  <c r="G87"/>
  <c r="G11"/>
  <c r="AI66" i="2"/>
  <c r="X104"/>
  <c r="F226" i="1" s="1"/>
  <c r="G85"/>
  <c r="H85" s="1"/>
  <c r="I85" s="1"/>
  <c r="G84"/>
  <c r="F40"/>
  <c r="N14" i="2"/>
  <c r="G30" i="1" l="1"/>
  <c r="H30" s="1"/>
  <c r="H14"/>
  <c r="I14" s="1"/>
  <c r="H86"/>
  <c r="I86" s="1"/>
  <c r="H87"/>
  <c r="I87" s="1"/>
  <c r="F258"/>
  <c r="G252"/>
  <c r="G251"/>
  <c r="G235"/>
  <c r="G220"/>
  <c r="G219"/>
  <c r="G218"/>
  <c r="G171"/>
  <c r="G170"/>
  <c r="G169"/>
  <c r="G161"/>
  <c r="G160"/>
  <c r="G140"/>
  <c r="G134"/>
  <c r="G89"/>
  <c r="G83"/>
  <c r="G82" l="1"/>
  <c r="G81"/>
  <c r="G79"/>
  <c r="G76"/>
  <c r="G74"/>
  <c r="G73"/>
  <c r="G71"/>
  <c r="G23" l="1"/>
  <c r="G16"/>
  <c r="G13"/>
  <c r="G240"/>
  <c r="F121" l="1"/>
  <c r="F259" l="1"/>
  <c r="H238"/>
  <c r="I238" s="1"/>
  <c r="H239"/>
  <c r="I239" s="1"/>
  <c r="H237"/>
  <c r="I237" s="1"/>
  <c r="H271"/>
  <c r="I271" s="1"/>
  <c r="H226"/>
  <c r="G69" i="3"/>
  <c r="G68"/>
  <c r="G67"/>
  <c r="G66"/>
  <c r="G65"/>
  <c r="G64"/>
  <c r="G63"/>
  <c r="G62"/>
  <c r="G52"/>
  <c r="G53"/>
  <c r="G54"/>
  <c r="G55"/>
  <c r="G56"/>
  <c r="G57"/>
  <c r="G58"/>
  <c r="G51"/>
  <c r="H251" i="1"/>
  <c r="H230"/>
  <c r="I230" s="1"/>
  <c r="F218"/>
  <c r="G70" i="3" l="1"/>
  <c r="G158" i="1" s="1"/>
  <c r="H158" s="1"/>
  <c r="I158" s="1"/>
  <c r="I226"/>
  <c r="G59" i="3"/>
  <c r="G157" i="1" s="1"/>
  <c r="H157" s="1"/>
  <c r="I157" s="1"/>
  <c r="E49" i="2"/>
  <c r="E50"/>
  <c r="E48" l="1"/>
  <c r="E47"/>
  <c r="H87"/>
  <c r="H88"/>
  <c r="H89"/>
  <c r="G87"/>
  <c r="G88"/>
  <c r="G89"/>
  <c r="H86"/>
  <c r="G86"/>
  <c r="G215" i="1"/>
  <c r="H215" s="1"/>
  <c r="I215" s="1"/>
  <c r="G216"/>
  <c r="H216" s="1"/>
  <c r="I216" s="1"/>
  <c r="H270"/>
  <c r="I270" s="1"/>
  <c r="H269"/>
  <c r="I269" s="1"/>
  <c r="H268"/>
  <c r="I268" s="1"/>
  <c r="H99" l="1"/>
  <c r="I99" s="1"/>
  <c r="H233"/>
  <c r="I233" s="1"/>
  <c r="F33"/>
  <c r="H33"/>
  <c r="H72"/>
  <c r="F161"/>
  <c r="F160"/>
  <c r="H161"/>
  <c r="H222"/>
  <c r="F245"/>
  <c r="F244"/>
  <c r="F243" s="1"/>
  <c r="H160"/>
  <c r="F247"/>
  <c r="N13" i="2"/>
  <c r="F39" i="1" s="1"/>
  <c r="H40"/>
  <c r="J317" i="2"/>
  <c r="I317"/>
  <c r="H317"/>
  <c r="G317"/>
  <c r="G298"/>
  <c r="G300"/>
  <c r="G299"/>
  <c r="F23" i="1"/>
  <c r="H21"/>
  <c r="I21" s="1"/>
  <c r="G24" i="3"/>
  <c r="G23"/>
  <c r="G25" s="1"/>
  <c r="G20" i="1" s="1"/>
  <c r="H20" s="1"/>
  <c r="H23"/>
  <c r="H259"/>
  <c r="H260"/>
  <c r="I260" s="1"/>
  <c r="H258"/>
  <c r="H265"/>
  <c r="H255"/>
  <c r="I255" s="1"/>
  <c r="I40" l="1"/>
  <c r="I160"/>
  <c r="I23"/>
  <c r="I22" s="1"/>
  <c r="D15" i="4" s="1"/>
  <c r="I161" i="1"/>
  <c r="I33"/>
  <c r="I265"/>
  <c r="I259"/>
  <c r="G2" i="3"/>
  <c r="G3"/>
  <c r="G4"/>
  <c r="G5"/>
  <c r="G6"/>
  <c r="G7"/>
  <c r="G8"/>
  <c r="G9"/>
  <c r="G10"/>
  <c r="G11"/>
  <c r="G12"/>
  <c r="G13"/>
  <c r="G14"/>
  <c r="G15"/>
  <c r="F51" i="1"/>
  <c r="H83"/>
  <c r="F50"/>
  <c r="F49"/>
  <c r="H50"/>
  <c r="H67"/>
  <c r="I67" s="1"/>
  <c r="H195"/>
  <c r="I195" s="1"/>
  <c r="H211"/>
  <c r="I211" s="1"/>
  <c r="H212"/>
  <c r="I212" s="1"/>
  <c r="P15" i="4" l="1"/>
  <c r="H15"/>
  <c r="X15"/>
  <c r="V15"/>
  <c r="T15"/>
  <c r="R15"/>
  <c r="N15"/>
  <c r="L15"/>
  <c r="F15"/>
  <c r="J15"/>
  <c r="I83" i="1"/>
  <c r="G16" i="3"/>
  <c r="G152" i="1" s="1"/>
  <c r="I51"/>
  <c r="I50"/>
  <c r="H190" i="2"/>
  <c r="F165" i="1" s="1"/>
  <c r="AE66" i="2"/>
  <c r="H167" i="1"/>
  <c r="I167" s="1"/>
  <c r="H125"/>
  <c r="I125" s="1"/>
  <c r="H124"/>
  <c r="I124" s="1"/>
  <c r="F123"/>
  <c r="H123"/>
  <c r="H122"/>
  <c r="H138"/>
  <c r="I138" s="1"/>
  <c r="I123" l="1"/>
  <c r="AG79" i="2"/>
  <c r="AF79"/>
  <c r="G178"/>
  <c r="AG103" l="1"/>
  <c r="AH103" s="1"/>
  <c r="AG102"/>
  <c r="AH102" s="1"/>
  <c r="AG101"/>
  <c r="AH101" s="1"/>
  <c r="AG100"/>
  <c r="AH100" s="1"/>
  <c r="AG99"/>
  <c r="AH99" s="1"/>
  <c r="AG98"/>
  <c r="AH98" s="1"/>
  <c r="H81" i="1"/>
  <c r="H82"/>
  <c r="AG91" i="2"/>
  <c r="AF91"/>
  <c r="AG90"/>
  <c r="AF90"/>
  <c r="AF89"/>
  <c r="AG89"/>
  <c r="H104" i="1"/>
  <c r="I104" s="1"/>
  <c r="H103"/>
  <c r="I103" s="1"/>
  <c r="H102"/>
  <c r="I102" s="1"/>
  <c r="F107"/>
  <c r="AH89" i="2" l="1"/>
  <c r="AH104"/>
  <c r="F81" i="1" s="1"/>
  <c r="AH91" i="2"/>
  <c r="AH90"/>
  <c r="H91" i="1"/>
  <c r="H73"/>
  <c r="H74"/>
  <c r="Q117" i="2"/>
  <c r="F72" i="1" s="1"/>
  <c r="I72" s="1"/>
  <c r="P117" i="2"/>
  <c r="F73" i="1" s="1"/>
  <c r="AH92" i="2" l="1"/>
  <c r="F82" i="1" s="1"/>
  <c r="I82" s="1"/>
  <c r="I81"/>
  <c r="I73"/>
  <c r="H156"/>
  <c r="I156" s="1"/>
  <c r="H39"/>
  <c r="H267"/>
  <c r="I267" s="1"/>
  <c r="H266"/>
  <c r="I266" s="1"/>
  <c r="H49"/>
  <c r="I49" s="1"/>
  <c r="G47"/>
  <c r="G46"/>
  <c r="H84"/>
  <c r="I84" s="1"/>
  <c r="I39" l="1"/>
  <c r="H54"/>
  <c r="I54" s="1"/>
  <c r="H46"/>
  <c r="I46" s="1"/>
  <c r="H47"/>
  <c r="I47" s="1"/>
  <c r="H75"/>
  <c r="C148" i="2"/>
  <c r="E148" s="1"/>
  <c r="AF72"/>
  <c r="S21"/>
  <c r="S11"/>
  <c r="F12" s="1"/>
  <c r="G12" s="1"/>
  <c r="AG78"/>
  <c r="AG77"/>
  <c r="AG76"/>
  <c r="AG75"/>
  <c r="AG74"/>
  <c r="AG73"/>
  <c r="AG72"/>
  <c r="H261" i="1"/>
  <c r="I261" s="1"/>
  <c r="H264"/>
  <c r="I264" s="1"/>
  <c r="AF78" i="2"/>
  <c r="AF77"/>
  <c r="AF76"/>
  <c r="AF75"/>
  <c r="AF74"/>
  <c r="AF73"/>
  <c r="G80" i="1"/>
  <c r="H80" s="1"/>
  <c r="H79"/>
  <c r="D298" i="2"/>
  <c r="D304"/>
  <c r="D312"/>
  <c r="H229" i="1"/>
  <c r="I229" s="1"/>
  <c r="G174"/>
  <c r="H174" s="1"/>
  <c r="I174" s="1"/>
  <c r="H173"/>
  <c r="I173" s="1"/>
  <c r="H134"/>
  <c r="I134" s="1"/>
  <c r="F153"/>
  <c r="I20"/>
  <c r="H19"/>
  <c r="I19" s="1"/>
  <c r="X86" i="2"/>
  <c r="X87"/>
  <c r="X88"/>
  <c r="X89"/>
  <c r="X90"/>
  <c r="X91"/>
  <c r="X92"/>
  <c r="X93"/>
  <c r="X94"/>
  <c r="X95"/>
  <c r="T86"/>
  <c r="T87"/>
  <c r="T88"/>
  <c r="T89"/>
  <c r="T90"/>
  <c r="T91"/>
  <c r="T92"/>
  <c r="T93"/>
  <c r="T94"/>
  <c r="T95"/>
  <c r="I86"/>
  <c r="I87"/>
  <c r="I88"/>
  <c r="I89"/>
  <c r="I90"/>
  <c r="I91"/>
  <c r="I92"/>
  <c r="I93"/>
  <c r="I94"/>
  <c r="I95"/>
  <c r="H227" i="1"/>
  <c r="O82" i="2"/>
  <c r="F78"/>
  <c r="S6"/>
  <c r="S7"/>
  <c r="S8"/>
  <c r="S9"/>
  <c r="S10"/>
  <c r="S12"/>
  <c r="F9" s="1"/>
  <c r="G9" s="1"/>
  <c r="S13"/>
  <c r="S14"/>
  <c r="F13" s="1"/>
  <c r="G13" s="1"/>
  <c r="S15"/>
  <c r="S16"/>
  <c r="F42" s="1"/>
  <c r="S17"/>
  <c r="S18"/>
  <c r="S19"/>
  <c r="S20"/>
  <c r="G67"/>
  <c r="G68"/>
  <c r="G69"/>
  <c r="G70"/>
  <c r="G71"/>
  <c r="G72"/>
  <c r="G73"/>
  <c r="G74"/>
  <c r="G75"/>
  <c r="G76"/>
  <c r="G77"/>
  <c r="G78"/>
  <c r="G79"/>
  <c r="G80"/>
  <c r="G81"/>
  <c r="G82"/>
  <c r="G83"/>
  <c r="G84"/>
  <c r="G85"/>
  <c r="G66"/>
  <c r="H67"/>
  <c r="H68"/>
  <c r="H69"/>
  <c r="H70"/>
  <c r="H71"/>
  <c r="H72"/>
  <c r="H73"/>
  <c r="H74"/>
  <c r="H75"/>
  <c r="H76"/>
  <c r="H77"/>
  <c r="H78"/>
  <c r="H79"/>
  <c r="H80"/>
  <c r="H81"/>
  <c r="H82"/>
  <c r="H83"/>
  <c r="H84"/>
  <c r="H85"/>
  <c r="H66"/>
  <c r="F228" i="1"/>
  <c r="H225"/>
  <c r="H243"/>
  <c r="H244"/>
  <c r="I244" s="1"/>
  <c r="H245"/>
  <c r="I245" s="1"/>
  <c r="H247"/>
  <c r="I247" s="1"/>
  <c r="G248"/>
  <c r="H248" s="1"/>
  <c r="I248" s="1"/>
  <c r="H250"/>
  <c r="I250" s="1"/>
  <c r="I251"/>
  <c r="H252"/>
  <c r="F252"/>
  <c r="H253"/>
  <c r="F253"/>
  <c r="H254"/>
  <c r="I254" s="1"/>
  <c r="H256"/>
  <c r="I256" s="1"/>
  <c r="H257"/>
  <c r="I257" s="1"/>
  <c r="H246"/>
  <c r="I246" s="1"/>
  <c r="D71" i="2"/>
  <c r="D72"/>
  <c r="F37"/>
  <c r="D76" s="1"/>
  <c r="D78"/>
  <c r="D80"/>
  <c r="D82"/>
  <c r="D83"/>
  <c r="D85"/>
  <c r="T96"/>
  <c r="X98"/>
  <c r="T100"/>
  <c r="H224" i="1"/>
  <c r="H228"/>
  <c r="C268" i="2"/>
  <c r="C269"/>
  <c r="C270"/>
  <c r="C271"/>
  <c r="C272"/>
  <c r="C273"/>
  <c r="C274"/>
  <c r="C275"/>
  <c r="C276"/>
  <c r="C277"/>
  <c r="C278"/>
  <c r="C279"/>
  <c r="C280"/>
  <c r="C281"/>
  <c r="C282"/>
  <c r="C283"/>
  <c r="C284"/>
  <c r="C285"/>
  <c r="C286"/>
  <c r="C287"/>
  <c r="C288"/>
  <c r="H89" i="1"/>
  <c r="K240" i="2"/>
  <c r="L240" s="1"/>
  <c r="K241"/>
  <c r="L241" s="1"/>
  <c r="K242"/>
  <c r="L242" s="1"/>
  <c r="K243"/>
  <c r="L243" s="1"/>
  <c r="K244"/>
  <c r="L244" s="1"/>
  <c r="K245"/>
  <c r="L245" s="1"/>
  <c r="K246"/>
  <c r="L246" s="1"/>
  <c r="K247"/>
  <c r="L247" s="1"/>
  <c r="K248"/>
  <c r="L248" s="1"/>
  <c r="K249"/>
  <c r="L249" s="1"/>
  <c r="K250"/>
  <c r="L250" s="1"/>
  <c r="K251"/>
  <c r="L251" s="1"/>
  <c r="K252"/>
  <c r="L252" s="1"/>
  <c r="K253"/>
  <c r="L253" s="1"/>
  <c r="K254"/>
  <c r="L254" s="1"/>
  <c r="K255"/>
  <c r="L255" s="1"/>
  <c r="K256"/>
  <c r="L256" s="1"/>
  <c r="K257"/>
  <c r="L257" s="1"/>
  <c r="K258"/>
  <c r="L258" s="1"/>
  <c r="K259"/>
  <c r="L259" s="1"/>
  <c r="K260"/>
  <c r="L260" s="1"/>
  <c r="H90" i="1"/>
  <c r="G238" i="2"/>
  <c r="D239"/>
  <c r="G239" s="1"/>
  <c r="G240"/>
  <c r="G241"/>
  <c r="G242"/>
  <c r="G243"/>
  <c r="G244"/>
  <c r="G245"/>
  <c r="G246"/>
  <c r="G247"/>
  <c r="G248"/>
  <c r="G249"/>
  <c r="G250"/>
  <c r="G251"/>
  <c r="G252"/>
  <c r="G253"/>
  <c r="G254"/>
  <c r="G255"/>
  <c r="G256"/>
  <c r="G257"/>
  <c r="G258"/>
  <c r="G259"/>
  <c r="G260"/>
  <c r="G261"/>
  <c r="G262"/>
  <c r="C178"/>
  <c r="F75" i="1" s="1"/>
  <c r="H167" i="2"/>
  <c r="F77" i="1" s="1"/>
  <c r="H76"/>
  <c r="H77"/>
  <c r="H69"/>
  <c r="H70"/>
  <c r="H71"/>
  <c r="H78"/>
  <c r="H29"/>
  <c r="H31"/>
  <c r="H32"/>
  <c r="H34"/>
  <c r="I34" s="1"/>
  <c r="H273"/>
  <c r="I273" s="1"/>
  <c r="I272" s="1"/>
  <c r="H275"/>
  <c r="I275" s="1"/>
  <c r="I274" s="1"/>
  <c r="D29" i="4" s="1"/>
  <c r="H232" i="1"/>
  <c r="I232" s="1"/>
  <c r="H234"/>
  <c r="I234" s="1"/>
  <c r="H235"/>
  <c r="I235" s="1"/>
  <c r="H236"/>
  <c r="I236" s="1"/>
  <c r="H240"/>
  <c r="I240" s="1"/>
  <c r="G214"/>
  <c r="H214" s="1"/>
  <c r="I214" s="1"/>
  <c r="H217"/>
  <c r="I217" s="1"/>
  <c r="F219"/>
  <c r="F222" s="1"/>
  <c r="I222" s="1"/>
  <c r="H218"/>
  <c r="H219"/>
  <c r="F220"/>
  <c r="H220"/>
  <c r="F169"/>
  <c r="H169"/>
  <c r="H170"/>
  <c r="I170" s="1"/>
  <c r="H175"/>
  <c r="F177"/>
  <c r="H177"/>
  <c r="F178"/>
  <c r="H178"/>
  <c r="F179"/>
  <c r="H179"/>
  <c r="F180"/>
  <c r="H180"/>
  <c r="G181"/>
  <c r="H181" s="1"/>
  <c r="I181" s="1"/>
  <c r="G182"/>
  <c r="H182" s="1"/>
  <c r="I182" s="1"/>
  <c r="H184"/>
  <c r="I184" s="1"/>
  <c r="G185"/>
  <c r="H185" s="1"/>
  <c r="I185" s="1"/>
  <c r="G186"/>
  <c r="H186" s="1"/>
  <c r="I186" s="1"/>
  <c r="H187"/>
  <c r="I187" s="1"/>
  <c r="H188"/>
  <c r="I188" s="1"/>
  <c r="H189"/>
  <c r="I189" s="1"/>
  <c r="H190"/>
  <c r="I190" s="1"/>
  <c r="H194"/>
  <c r="I194" s="1"/>
  <c r="H193"/>
  <c r="I193" s="1"/>
  <c r="H192"/>
  <c r="I192" s="1"/>
  <c r="H191"/>
  <c r="I191" s="1"/>
  <c r="G196"/>
  <c r="H196" s="1"/>
  <c r="I196" s="1"/>
  <c r="F198"/>
  <c r="H198"/>
  <c r="F199"/>
  <c r="H199"/>
  <c r="H200"/>
  <c r="I200" s="1"/>
  <c r="H183"/>
  <c r="I183" s="1"/>
  <c r="H197"/>
  <c r="I197" s="1"/>
  <c r="H201"/>
  <c r="I201" s="1"/>
  <c r="H202"/>
  <c r="I202" s="1"/>
  <c r="H203"/>
  <c r="I203" s="1"/>
  <c r="H204"/>
  <c r="I204" s="1"/>
  <c r="H205"/>
  <c r="I205" s="1"/>
  <c r="H206"/>
  <c r="I206" s="1"/>
  <c r="H207"/>
  <c r="I207" s="1"/>
  <c r="H208"/>
  <c r="I208" s="1"/>
  <c r="H209"/>
  <c r="I209" s="1"/>
  <c r="H210"/>
  <c r="I210" s="1"/>
  <c r="H162"/>
  <c r="I162" s="1"/>
  <c r="H163"/>
  <c r="I163" s="1"/>
  <c r="G164"/>
  <c r="H164" s="1"/>
  <c r="I164" s="1"/>
  <c r="H165"/>
  <c r="H168"/>
  <c r="H166"/>
  <c r="I166" s="1"/>
  <c r="H93"/>
  <c r="I93" s="1"/>
  <c r="H94"/>
  <c r="I94" s="1"/>
  <c r="H95"/>
  <c r="I95" s="1"/>
  <c r="H96"/>
  <c r="I96" s="1"/>
  <c r="H97"/>
  <c r="I97" s="1"/>
  <c r="H98"/>
  <c r="I98" s="1"/>
  <c r="H100"/>
  <c r="I100" s="1"/>
  <c r="H101"/>
  <c r="I101" s="1"/>
  <c r="H105"/>
  <c r="I105" s="1"/>
  <c r="H106"/>
  <c r="I106" s="1"/>
  <c r="H107"/>
  <c r="H108"/>
  <c r="I108" s="1"/>
  <c r="H109"/>
  <c r="I109" s="1"/>
  <c r="H110"/>
  <c r="I110" s="1"/>
  <c r="H111"/>
  <c r="I111" s="1"/>
  <c r="H112"/>
  <c r="I112" s="1"/>
  <c r="H113"/>
  <c r="I113" s="1"/>
  <c r="H114"/>
  <c r="I114" s="1"/>
  <c r="H115"/>
  <c r="I115" s="1"/>
  <c r="H116"/>
  <c r="I116" s="1"/>
  <c r="H117"/>
  <c r="I117" s="1"/>
  <c r="H118"/>
  <c r="I118" s="1"/>
  <c r="H119"/>
  <c r="I119" s="1"/>
  <c r="H120"/>
  <c r="I120" s="1"/>
  <c r="H121"/>
  <c r="I121" s="1"/>
  <c r="H126"/>
  <c r="I126" s="1"/>
  <c r="H127"/>
  <c r="I127" s="1"/>
  <c r="H128"/>
  <c r="I128" s="1"/>
  <c r="H132"/>
  <c r="I132" s="1"/>
  <c r="H129"/>
  <c r="I129" s="1"/>
  <c r="H130"/>
  <c r="I130" s="1"/>
  <c r="H131"/>
  <c r="I131" s="1"/>
  <c r="H133"/>
  <c r="I133" s="1"/>
  <c r="H135"/>
  <c r="I135" s="1"/>
  <c r="H136"/>
  <c r="I136" s="1"/>
  <c r="H137"/>
  <c r="I137" s="1"/>
  <c r="H139"/>
  <c r="I139" s="1"/>
  <c r="H140"/>
  <c r="I140" s="1"/>
  <c r="H141"/>
  <c r="I141" s="1"/>
  <c r="H142"/>
  <c r="I142" s="1"/>
  <c r="H143"/>
  <c r="I143" s="1"/>
  <c r="H144"/>
  <c r="I144" s="1"/>
  <c r="H145"/>
  <c r="I145" s="1"/>
  <c r="H146"/>
  <c r="I146" s="1"/>
  <c r="H147"/>
  <c r="I147" s="1"/>
  <c r="H148"/>
  <c r="I148" s="1"/>
  <c r="H149"/>
  <c r="I149" s="1"/>
  <c r="H150"/>
  <c r="I150" s="1"/>
  <c r="H151"/>
  <c r="I151" s="1"/>
  <c r="H152"/>
  <c r="I152" s="1"/>
  <c r="H153"/>
  <c r="H154"/>
  <c r="I154" s="1"/>
  <c r="H42"/>
  <c r="I42" s="1"/>
  <c r="H43"/>
  <c r="I43" s="1"/>
  <c r="H48"/>
  <c r="I48" s="1"/>
  <c r="G44"/>
  <c r="H44" s="1"/>
  <c r="I44" s="1"/>
  <c r="H45"/>
  <c r="I45" s="1"/>
  <c r="H53"/>
  <c r="I53" s="1"/>
  <c r="H55"/>
  <c r="I55" s="1"/>
  <c r="H56"/>
  <c r="I56" s="1"/>
  <c r="H57"/>
  <c r="I57" s="1"/>
  <c r="H58"/>
  <c r="I58" s="1"/>
  <c r="H59"/>
  <c r="I59" s="1"/>
  <c r="H60"/>
  <c r="I60" s="1"/>
  <c r="H61"/>
  <c r="I61" s="1"/>
  <c r="H63"/>
  <c r="I63" s="1"/>
  <c r="H64"/>
  <c r="I64" s="1"/>
  <c r="H65"/>
  <c r="I65" s="1"/>
  <c r="H66"/>
  <c r="H62"/>
  <c r="I62" s="1"/>
  <c r="H37"/>
  <c r="H38"/>
  <c r="I38" s="1"/>
  <c r="H25"/>
  <c r="H10"/>
  <c r="I10" s="1"/>
  <c r="H11"/>
  <c r="H12"/>
  <c r="I12" s="1"/>
  <c r="H13"/>
  <c r="I13" s="1"/>
  <c r="H15"/>
  <c r="I15" s="1"/>
  <c r="H16"/>
  <c r="I16" s="1"/>
  <c r="H171"/>
  <c r="I171" s="1"/>
  <c r="F221"/>
  <c r="H221"/>
  <c r="H18" i="2"/>
  <c r="H17"/>
  <c r="H16"/>
  <c r="H15"/>
  <c r="H155" i="1"/>
  <c r="I155" s="1"/>
  <c r="I195" i="2"/>
  <c r="I194"/>
  <c r="E222"/>
  <c r="E223"/>
  <c r="E224"/>
  <c r="E221"/>
  <c r="E214"/>
  <c r="E215"/>
  <c r="E216"/>
  <c r="E217"/>
  <c r="E213"/>
  <c r="E198"/>
  <c r="E199"/>
  <c r="E200"/>
  <c r="E201"/>
  <c r="E202"/>
  <c r="E203"/>
  <c r="E204"/>
  <c r="E205"/>
  <c r="E206"/>
  <c r="E207"/>
  <c r="E197"/>
  <c r="E185"/>
  <c r="E186"/>
  <c r="E187"/>
  <c r="E188"/>
  <c r="E189"/>
  <c r="E190"/>
  <c r="E184"/>
  <c r="E182"/>
  <c r="D182" s="1"/>
  <c r="E211"/>
  <c r="D211" s="1"/>
  <c r="D212"/>
  <c r="E183"/>
  <c r="D183" s="1"/>
  <c r="D195"/>
  <c r="D196"/>
  <c r="D218"/>
  <c r="E218" s="1"/>
  <c r="C111"/>
  <c r="E112"/>
  <c r="E113"/>
  <c r="D114"/>
  <c r="C115"/>
  <c r="E115" s="1"/>
  <c r="D116"/>
  <c r="E116" s="1"/>
  <c r="E117"/>
  <c r="E119"/>
  <c r="E120"/>
  <c r="D121"/>
  <c r="E121" s="1"/>
  <c r="E122"/>
  <c r="E123"/>
  <c r="E124"/>
  <c r="E125"/>
  <c r="E127"/>
  <c r="E128"/>
  <c r="E129"/>
  <c r="E130"/>
  <c r="E132"/>
  <c r="E134"/>
  <c r="E136"/>
  <c r="E137"/>
  <c r="E138"/>
  <c r="E139"/>
  <c r="E141"/>
  <c r="E142"/>
  <c r="E143"/>
  <c r="E144"/>
  <c r="E145"/>
  <c r="E146"/>
  <c r="E147"/>
  <c r="D149"/>
  <c r="E149" s="1"/>
  <c r="E150"/>
  <c r="E151"/>
  <c r="E152"/>
  <c r="E153"/>
  <c r="E154"/>
  <c r="L155"/>
  <c r="K155"/>
  <c r="G14"/>
  <c r="G24"/>
  <c r="G25"/>
  <c r="G29"/>
  <c r="G31"/>
  <c r="G33"/>
  <c r="G36"/>
  <c r="G38"/>
  <c r="G39"/>
  <c r="G40"/>
  <c r="G47"/>
  <c r="G48"/>
  <c r="G49"/>
  <c r="G50"/>
  <c r="G51"/>
  <c r="G52"/>
  <c r="G53"/>
  <c r="G54"/>
  <c r="G55"/>
  <c r="G56"/>
  <c r="I5" i="1"/>
  <c r="D30" i="4" l="1"/>
  <c r="N30" s="1"/>
  <c r="N29"/>
  <c r="X29"/>
  <c r="V29"/>
  <c r="H29"/>
  <c r="J29"/>
  <c r="T29"/>
  <c r="P29"/>
  <c r="F29"/>
  <c r="L29"/>
  <c r="R29"/>
  <c r="I18" i="1"/>
  <c r="D14" i="4" s="1"/>
  <c r="AC70" i="2"/>
  <c r="I231" i="1"/>
  <c r="D27" i="4" s="1"/>
  <c r="D316" i="2"/>
  <c r="F30" i="1"/>
  <c r="I30" s="1"/>
  <c r="T102" i="2"/>
  <c r="F122" i="1"/>
  <c r="I122" s="1"/>
  <c r="F41" i="2"/>
  <c r="G41" s="1"/>
  <c r="AC73"/>
  <c r="AC69"/>
  <c r="T82"/>
  <c r="F43"/>
  <c r="G43" s="1"/>
  <c r="T78"/>
  <c r="X71"/>
  <c r="AC68"/>
  <c r="F16"/>
  <c r="G16" s="1"/>
  <c r="E114"/>
  <c r="D155"/>
  <c r="F71" i="1" s="1"/>
  <c r="I71" s="1"/>
  <c r="AH72" i="2"/>
  <c r="E111"/>
  <c r="C155"/>
  <c r="F74" i="1" s="1"/>
  <c r="I74" s="1"/>
  <c r="AJ66" i="2"/>
  <c r="F78" i="1" s="1"/>
  <c r="I25"/>
  <c r="D16" i="4" s="1"/>
  <c r="I153" i="1"/>
  <c r="I107"/>
  <c r="T83" i="2"/>
  <c r="T76"/>
  <c r="T98"/>
  <c r="T80"/>
  <c r="F46"/>
  <c r="G46" s="1"/>
  <c r="I37" i="1"/>
  <c r="I36" s="1"/>
  <c r="D18" i="4" s="1"/>
  <c r="F10" i="2"/>
  <c r="G10" s="1"/>
  <c r="T71"/>
  <c r="AC67"/>
  <c r="AH74"/>
  <c r="AH78"/>
  <c r="F32"/>
  <c r="I80"/>
  <c r="I76"/>
  <c r="I72"/>
  <c r="X83"/>
  <c r="D75"/>
  <c r="X75" s="1"/>
  <c r="F23"/>
  <c r="F11"/>
  <c r="G11" s="1"/>
  <c r="F30"/>
  <c r="D77" s="1"/>
  <c r="AC66"/>
  <c r="G301"/>
  <c r="H168"/>
  <c r="F44"/>
  <c r="G44" s="1"/>
  <c r="X78"/>
  <c r="G263"/>
  <c r="AH73"/>
  <c r="G37"/>
  <c r="C289"/>
  <c r="F34"/>
  <c r="G34" s="1"/>
  <c r="F35"/>
  <c r="G35" s="1"/>
  <c r="F15"/>
  <c r="I83"/>
  <c r="I71"/>
  <c r="I98"/>
  <c r="AC72"/>
  <c r="AH75"/>
  <c r="F8"/>
  <c r="D311"/>
  <c r="AC71"/>
  <c r="F18"/>
  <c r="G18" s="1"/>
  <c r="I85"/>
  <c r="X85"/>
  <c r="AH77"/>
  <c r="T72"/>
  <c r="F20"/>
  <c r="G20" s="1"/>
  <c r="T85"/>
  <c r="X82"/>
  <c r="F19"/>
  <c r="G19" s="1"/>
  <c r="I169" i="1"/>
  <c r="I11"/>
  <c r="I9" s="1"/>
  <c r="D13" i="4" s="1"/>
  <c r="I243" i="1"/>
  <c r="I168"/>
  <c r="I220"/>
  <c r="I218"/>
  <c r="I253"/>
  <c r="I165"/>
  <c r="I179"/>
  <c r="I177"/>
  <c r="I221"/>
  <c r="I198"/>
  <c r="I258"/>
  <c r="I228"/>
  <c r="I199"/>
  <c r="I180"/>
  <c r="I178"/>
  <c r="I175"/>
  <c r="I219"/>
  <c r="I77"/>
  <c r="I252"/>
  <c r="I31"/>
  <c r="I75"/>
  <c r="D69" i="2"/>
  <c r="X69" s="1"/>
  <c r="G22"/>
  <c r="L261"/>
  <c r="I90" i="1" s="1"/>
  <c r="F45" i="2"/>
  <c r="G45" s="1"/>
  <c r="F26"/>
  <c r="F21"/>
  <c r="G21" s="1"/>
  <c r="F17"/>
  <c r="X100"/>
  <c r="X96"/>
  <c r="X80"/>
  <c r="X76"/>
  <c r="X72"/>
  <c r="I82"/>
  <c r="I78"/>
  <c r="F27"/>
  <c r="I100"/>
  <c r="I96"/>
  <c r="V30" i="4" l="1"/>
  <c r="T30"/>
  <c r="P30"/>
  <c r="J30"/>
  <c r="L30"/>
  <c r="X30"/>
  <c r="F30"/>
  <c r="R30"/>
  <c r="H30"/>
  <c r="L16"/>
  <c r="F16"/>
  <c r="T16"/>
  <c r="X16"/>
  <c r="P16"/>
  <c r="J16"/>
  <c r="H16"/>
  <c r="V16"/>
  <c r="R16"/>
  <c r="N16"/>
  <c r="X27"/>
  <c r="F27"/>
  <c r="P27"/>
  <c r="J27"/>
  <c r="H27"/>
  <c r="V27"/>
  <c r="R27"/>
  <c r="L27"/>
  <c r="T27"/>
  <c r="N27"/>
  <c r="J13"/>
  <c r="R13"/>
  <c r="V13"/>
  <c r="H13"/>
  <c r="T13"/>
  <c r="X13"/>
  <c r="L13"/>
  <c r="F13"/>
  <c r="P13"/>
  <c r="N13"/>
  <c r="J14"/>
  <c r="N14"/>
  <c r="F14"/>
  <c r="L14"/>
  <c r="P14"/>
  <c r="R14"/>
  <c r="T14"/>
  <c r="V14"/>
  <c r="X14"/>
  <c r="H14"/>
  <c r="H18"/>
  <c r="N18"/>
  <c r="F18"/>
  <c r="X18"/>
  <c r="L18"/>
  <c r="J18"/>
  <c r="P18"/>
  <c r="R18"/>
  <c r="T18"/>
  <c r="V18"/>
  <c r="I89" i="1"/>
  <c r="F76"/>
  <c r="I76" s="1"/>
  <c r="I213"/>
  <c r="D25" i="4" s="1"/>
  <c r="I92" i="1"/>
  <c r="I159"/>
  <c r="I172"/>
  <c r="D24" i="4" s="1"/>
  <c r="I242" i="1"/>
  <c r="I78"/>
  <c r="F29"/>
  <c r="I29" s="1"/>
  <c r="D317" i="2"/>
  <c r="I32" i="1"/>
  <c r="AH80" i="2"/>
  <c r="F80" i="1" s="1"/>
  <c r="I80" s="1"/>
  <c r="E155" i="2"/>
  <c r="G30"/>
  <c r="T75"/>
  <c r="G8"/>
  <c r="D66"/>
  <c r="X77"/>
  <c r="I77"/>
  <c r="T77"/>
  <c r="D70"/>
  <c r="G23"/>
  <c r="D79"/>
  <c r="G32"/>
  <c r="I75"/>
  <c r="D67"/>
  <c r="G15"/>
  <c r="T69"/>
  <c r="I69"/>
  <c r="D68"/>
  <c r="G17"/>
  <c r="G27"/>
  <c r="D74"/>
  <c r="D73"/>
  <c r="G26"/>
  <c r="D84"/>
  <c r="D81"/>
  <c r="G42"/>
  <c r="D28" i="4" l="1"/>
  <c r="N28" s="1"/>
  <c r="P25"/>
  <c r="N25"/>
  <c r="L25"/>
  <c r="F25"/>
  <c r="T25"/>
  <c r="H25"/>
  <c r="J25"/>
  <c r="X25"/>
  <c r="V25"/>
  <c r="R25"/>
  <c r="N24"/>
  <c r="J24"/>
  <c r="X24"/>
  <c r="H24"/>
  <c r="T24"/>
  <c r="P24"/>
  <c r="F24"/>
  <c r="V24"/>
  <c r="L24"/>
  <c r="R24"/>
  <c r="D22"/>
  <c r="D23"/>
  <c r="I28" i="1"/>
  <c r="D17" i="4" s="1"/>
  <c r="AC74" i="2"/>
  <c r="F79" i="1" s="1"/>
  <c r="I79" s="1"/>
  <c r="X79" i="2"/>
  <c r="I79"/>
  <c r="T79"/>
  <c r="T70"/>
  <c r="I70"/>
  <c r="X70"/>
  <c r="X67"/>
  <c r="T67"/>
  <c r="I67"/>
  <c r="X66"/>
  <c r="T66"/>
  <c r="I66"/>
  <c r="T74"/>
  <c r="X74"/>
  <c r="I74"/>
  <c r="X81"/>
  <c r="I81"/>
  <c r="T81"/>
  <c r="X97"/>
  <c r="T97"/>
  <c r="I97"/>
  <c r="X73"/>
  <c r="I73"/>
  <c r="T73"/>
  <c r="T68"/>
  <c r="X68"/>
  <c r="I68"/>
  <c r="T84"/>
  <c r="X84"/>
  <c r="I84"/>
  <c r="G57"/>
  <c r="H28" i="4" l="1"/>
  <c r="P28"/>
  <c r="V28"/>
  <c r="J28"/>
  <c r="T28"/>
  <c r="F28"/>
  <c r="R28"/>
  <c r="X28"/>
  <c r="L28"/>
  <c r="J17"/>
  <c r="L17"/>
  <c r="P17"/>
  <c r="N17"/>
  <c r="F17"/>
  <c r="R17"/>
  <c r="T17"/>
  <c r="V17"/>
  <c r="X17"/>
  <c r="H17"/>
  <c r="J23"/>
  <c r="P23"/>
  <c r="R23"/>
  <c r="T23"/>
  <c r="X23"/>
  <c r="N23"/>
  <c r="F23"/>
  <c r="H23"/>
  <c r="V23"/>
  <c r="L23"/>
  <c r="H22"/>
  <c r="X22"/>
  <c r="L22"/>
  <c r="P22"/>
  <c r="R22"/>
  <c r="V22"/>
  <c r="N22"/>
  <c r="F22"/>
  <c r="T22"/>
  <c r="J22"/>
  <c r="X99" i="2"/>
  <c r="X101" s="1"/>
  <c r="F225" i="1" s="1"/>
  <c r="T99" i="2"/>
  <c r="T101" s="1"/>
  <c r="T103" s="1"/>
  <c r="F227" i="1" s="1"/>
  <c r="I99" i="2"/>
  <c r="F91" i="1" l="1"/>
  <c r="I91" s="1"/>
  <c r="I88" s="1"/>
  <c r="D21" i="4" s="1"/>
  <c r="M85" i="2"/>
  <c r="F69" i="1" s="1"/>
  <c r="I225"/>
  <c r="I227"/>
  <c r="R105" i="2"/>
  <c r="L21" i="4" l="1"/>
  <c r="N21"/>
  <c r="T21"/>
  <c r="V21"/>
  <c r="P21"/>
  <c r="R21"/>
  <c r="X21"/>
  <c r="F21"/>
  <c r="H21"/>
  <c r="J21"/>
  <c r="F70" i="1"/>
  <c r="I70" s="1"/>
  <c r="I69"/>
  <c r="F224"/>
  <c r="I224" s="1"/>
  <c r="I223" s="1"/>
  <c r="D26" i="4" l="1"/>
  <c r="V26" s="1"/>
  <c r="I68" i="1"/>
  <c r="I66"/>
  <c r="I41" s="1"/>
  <c r="D19" i="4" s="1"/>
  <c r="I276" i="1" l="1"/>
  <c r="L26" i="4"/>
  <c r="H26"/>
  <c r="X26"/>
  <c r="F26"/>
  <c r="J26"/>
  <c r="N26"/>
  <c r="P26"/>
  <c r="T26"/>
  <c r="R26"/>
  <c r="P19"/>
  <c r="L19"/>
  <c r="F19"/>
  <c r="N19"/>
  <c r="X19"/>
  <c r="V19"/>
  <c r="T19"/>
  <c r="R19"/>
  <c r="J19"/>
  <c r="H19"/>
  <c r="D20"/>
  <c r="F20" s="1"/>
  <c r="F31" s="1"/>
  <c r="L20" l="1"/>
  <c r="L31" s="1"/>
  <c r="D31"/>
  <c r="E20" s="1"/>
  <c r="H20"/>
  <c r="H31" s="1"/>
  <c r="P20"/>
  <c r="P31" s="1"/>
  <c r="N20"/>
  <c r="N31" s="1"/>
  <c r="R20"/>
  <c r="R31" s="1"/>
  <c r="J20"/>
  <c r="J31" s="1"/>
  <c r="T20"/>
  <c r="T31" s="1"/>
  <c r="X20"/>
  <c r="X31" s="1"/>
  <c r="V20"/>
  <c r="V31" s="1"/>
  <c r="F32"/>
  <c r="E27" l="1"/>
  <c r="H32"/>
  <c r="J32" s="1"/>
  <c r="L32" s="1"/>
  <c r="N32" s="1"/>
  <c r="P32" s="1"/>
  <c r="R32" s="1"/>
  <c r="T32" s="1"/>
  <c r="V32" s="1"/>
  <c r="X32" s="1"/>
  <c r="E30"/>
  <c r="E13"/>
  <c r="E31"/>
  <c r="E15"/>
  <c r="E21"/>
  <c r="E25"/>
  <c r="D32"/>
  <c r="I31" s="1"/>
  <c r="E16"/>
  <c r="E17"/>
  <c r="E14"/>
  <c r="E19"/>
  <c r="E24"/>
  <c r="E18"/>
  <c r="E26"/>
  <c r="E23"/>
  <c r="E28"/>
  <c r="E29"/>
  <c r="E22"/>
  <c r="Q31" l="1"/>
  <c r="K31"/>
  <c r="S31"/>
  <c r="M31"/>
  <c r="O31"/>
  <c r="W31"/>
  <c r="U31"/>
  <c r="G31"/>
  <c r="G32" s="1"/>
  <c r="I32" s="1"/>
  <c r="Y31"/>
  <c r="K32" l="1"/>
  <c r="M32" s="1"/>
  <c r="O32" s="1"/>
  <c r="Q32" s="1"/>
  <c r="S32" s="1"/>
  <c r="U32" s="1"/>
  <c r="W32" s="1"/>
  <c r="Y32" s="1"/>
</calcChain>
</file>

<file path=xl/comments1.xml><?xml version="1.0" encoding="utf-8"?>
<comments xmlns="http://schemas.openxmlformats.org/spreadsheetml/2006/main">
  <authors>
    <author>estagioeduca02</author>
    <author>estagioeduca01</author>
  </authors>
  <commentList>
    <comment ref="D17" authorId="0">
      <text>
        <r>
          <rPr>
            <b/>
            <sz val="8"/>
            <color indexed="81"/>
            <rFont val="Tahoma"/>
            <family val="2"/>
          </rPr>
          <t>estagioeduca02:</t>
        </r>
        <r>
          <rPr>
            <sz val="8"/>
            <color indexed="81"/>
            <rFont val="Tahoma"/>
            <family val="2"/>
          </rPr>
          <t xml:space="preserve">
PREÇO CONFERIDO COM A EMPRESA COLETORA DE ENTULHOS DE GASPAR (SC COLETORA DE ENTULHOS), NO DIA 25/06/2018, LARISSA LIGOU DIRETAMENTE PARA O LOCAL</t>
        </r>
      </text>
    </comment>
    <comment ref="G17" authorId="0">
      <text>
        <r>
          <rPr>
            <b/>
            <sz val="8"/>
            <color indexed="81"/>
            <rFont val="Tahoma"/>
            <family val="2"/>
          </rPr>
          <t>estagioeduca02:</t>
        </r>
        <r>
          <rPr>
            <sz val="8"/>
            <color indexed="81"/>
            <rFont val="Tahoma"/>
            <family val="2"/>
          </rPr>
          <t xml:space="preserve">
Valor da empresa sc coletora de entulhos é de r$ 200,00 por semana, e na planilha foi inserido o valor mensal de r$ 800,00 por 08 meses.</t>
        </r>
      </text>
    </comment>
    <comment ref="F25" authorId="1">
      <text>
        <r>
          <rPr>
            <b/>
            <sz val="9"/>
            <color indexed="81"/>
            <rFont val="Tahoma"/>
            <family val="2"/>
          </rPr>
          <t>estagioeduca01:</t>
        </r>
        <r>
          <rPr>
            <sz val="9"/>
            <color indexed="81"/>
            <rFont val="Tahoma"/>
            <family val="2"/>
          </rPr>
          <t xml:space="preserve">
54 estacas para construção e 42 estacas para a cerca
</t>
        </r>
      </text>
    </comment>
    <comment ref="F29" authorId="0">
      <text>
        <r>
          <rPr>
            <b/>
            <sz val="8"/>
            <color indexed="81"/>
            <rFont val="Tahoma"/>
            <family val="2"/>
          </rPr>
          <t>estagioeduca02:</t>
        </r>
        <r>
          <rPr>
            <sz val="8"/>
            <color indexed="81"/>
            <rFont val="Tahoma"/>
            <family val="2"/>
          </rPr>
          <t xml:space="preserve">
INCLUIDO MAIS 120,03 KG DE AÇO PARA OS NEGATIVOS DA EDIFICAÇÃO.</t>
        </r>
      </text>
    </comment>
    <comment ref="F32" authorId="1">
      <text>
        <r>
          <rPr>
            <b/>
            <sz val="9"/>
            <color indexed="81"/>
            <rFont val="Tahoma"/>
            <family val="2"/>
          </rPr>
          <t>estagioeduca01:</t>
        </r>
        <r>
          <rPr>
            <sz val="9"/>
            <color indexed="81"/>
            <rFont val="Tahoma"/>
            <family val="2"/>
          </rPr>
          <t xml:space="preserve">
22,79 M³ para vigas e blocos de concreto da cerca - fundação e 0,69M³ para o radier+0,735 M³ para escada de acessibilidade</t>
        </r>
      </text>
    </comment>
    <comment ref="F37" authorId="0">
      <text>
        <r>
          <rPr>
            <b/>
            <sz val="8"/>
            <color indexed="81"/>
            <rFont val="Tahoma"/>
            <family val="2"/>
          </rPr>
          <t>estagioeduca02:</t>
        </r>
        <r>
          <rPr>
            <sz val="8"/>
            <color indexed="81"/>
            <rFont val="Tahoma"/>
            <family val="2"/>
          </rPr>
          <t xml:space="preserve">
5,74 M² BASE DA BANCADA DA COZINHA, COM ABERTURA PARA TRÊS PORTAS DE CORRER (1,6*0,7 E 1,40*0,7) E MAIS 3,034 PARA BANCADA DE ALVENARIA AO LADO DO FOGÃO.</t>
        </r>
      </text>
    </comment>
    <comment ref="C42" authorId="1">
      <text>
        <r>
          <rPr>
            <b/>
            <sz val="9"/>
            <color indexed="81"/>
            <rFont val="Tahoma"/>
            <family val="2"/>
          </rPr>
          <t>estagioeduca01:</t>
        </r>
        <r>
          <rPr>
            <sz val="9"/>
            <color indexed="81"/>
            <rFont val="Tahoma"/>
            <family val="2"/>
          </rPr>
          <t xml:space="preserve">
Ver código 00010555 insumos</t>
        </r>
      </text>
    </comment>
    <comment ref="C43" authorId="1">
      <text>
        <r>
          <rPr>
            <b/>
            <sz val="9"/>
            <color indexed="81"/>
            <rFont val="Tahoma"/>
            <family val="2"/>
          </rPr>
          <t>estagioeduca01:</t>
        </r>
        <r>
          <rPr>
            <sz val="9"/>
            <color indexed="81"/>
            <rFont val="Tahoma"/>
            <family val="2"/>
          </rPr>
          <t xml:space="preserve">
Ver código 00011365
</t>
        </r>
      </text>
    </comment>
    <comment ref="C44" authorId="1">
      <text>
        <r>
          <rPr>
            <b/>
            <sz val="9"/>
            <color indexed="81"/>
            <rFont val="Tahoma"/>
            <family val="2"/>
          </rPr>
          <t>estagioeduca01:</t>
        </r>
        <r>
          <rPr>
            <sz val="9"/>
            <color indexed="81"/>
            <rFont val="Tahoma"/>
            <family val="2"/>
          </rPr>
          <t xml:space="preserve">
Não tem na tab SINAPI - mantenho valor?</t>
        </r>
      </text>
    </comment>
    <comment ref="F69" authorId="0">
      <text>
        <r>
          <rPr>
            <b/>
            <sz val="8"/>
            <color indexed="81"/>
            <rFont val="Tahoma"/>
            <family val="2"/>
          </rPr>
          <t>estagioeduca02:</t>
        </r>
        <r>
          <rPr>
            <sz val="8"/>
            <color indexed="81"/>
            <rFont val="Tahoma"/>
            <family val="2"/>
          </rPr>
          <t xml:space="preserve">
INCLUIDO CHAPISCO PARA AS BANCADAS DA COZINHA</t>
        </r>
      </text>
    </comment>
    <comment ref="F70" authorId="0">
      <text>
        <r>
          <rPr>
            <b/>
            <sz val="8"/>
            <color indexed="81"/>
            <rFont val="Tahoma"/>
            <family val="2"/>
          </rPr>
          <t>estagioeduca02:</t>
        </r>
        <r>
          <rPr>
            <sz val="8"/>
            <color indexed="81"/>
            <rFont val="Tahoma"/>
            <family val="2"/>
          </rPr>
          <t xml:space="preserve">
INCLUIDO REBOCO PARA AS BANCADAS DA COZINHA</t>
        </r>
      </text>
    </comment>
    <comment ref="F73" authorId="0">
      <text>
        <r>
          <rPr>
            <b/>
            <sz val="8"/>
            <color indexed="81"/>
            <rFont val="Tahoma"/>
            <family val="2"/>
          </rPr>
          <t>estagioeduca02:</t>
        </r>
        <r>
          <rPr>
            <sz val="8"/>
            <color indexed="81"/>
            <rFont val="Tahoma"/>
            <family val="2"/>
          </rPr>
          <t xml:space="preserve">
+ 26,25 m de soleira para a rampa de acessibilidade e escadas, no muro de 5 cm</t>
        </r>
      </text>
    </comment>
    <comment ref="F78" authorId="0">
      <text>
        <r>
          <rPr>
            <b/>
            <sz val="8"/>
            <color indexed="81"/>
            <rFont val="Tahoma"/>
            <family val="2"/>
          </rPr>
          <t>estagioeduca02:</t>
        </r>
        <r>
          <rPr>
            <sz val="8"/>
            <color indexed="81"/>
            <rFont val="Tahoma"/>
            <family val="2"/>
          </rPr>
          <t xml:space="preserve">
INCLUIDO MAIS 11,66 M² PARA REVESTIMENTO DA BANCADA DE ALVENARIA DA PIA E MAIS 5,132 M² PARA BANCADA NA COZINHA AO LADO DO FOGÃO e 3,64 m² para despensa
</t>
        </r>
      </text>
    </comment>
    <comment ref="F89" authorId="0">
      <text>
        <r>
          <rPr>
            <b/>
            <sz val="8"/>
            <color indexed="81"/>
            <rFont val="Tahoma"/>
            <family val="2"/>
          </rPr>
          <t>estagioeduca02:</t>
        </r>
        <r>
          <rPr>
            <sz val="8"/>
            <color indexed="81"/>
            <rFont val="Tahoma"/>
            <family val="2"/>
          </rPr>
          <t xml:space="preserve">
FOI INCLUIDO MAIS 208,075 M² PARA LAJES DO TETO.</t>
        </r>
      </text>
    </comment>
    <comment ref="G138" authorId="0">
      <text>
        <r>
          <rPr>
            <b/>
            <sz val="8"/>
            <color indexed="81"/>
            <rFont val="Tahoma"/>
            <family val="2"/>
          </rPr>
          <t>estagioeduca02:</t>
        </r>
        <r>
          <rPr>
            <sz val="8"/>
            <color indexed="81"/>
            <rFont val="Tahoma"/>
            <family val="2"/>
          </rPr>
          <t xml:space="preserve">
VALOR DE MERCADO+ VALOR DE INSTALAÇÃO NO IPPUJ</t>
        </r>
      </text>
    </comment>
    <comment ref="D197" authorId="0">
      <text>
        <r>
          <rPr>
            <b/>
            <sz val="8"/>
            <color indexed="81"/>
            <rFont val="Tahoma"/>
            <family val="2"/>
          </rPr>
          <t>estagioeduca02:</t>
        </r>
        <r>
          <rPr>
            <sz val="8"/>
            <color indexed="81"/>
            <rFont val="Tahoma"/>
            <family val="2"/>
          </rPr>
          <t xml:space="preserve">
NÃO É O MESMO INCLUÍDO NAS HASTES DE 3 METROS</t>
        </r>
      </text>
    </comment>
    <comment ref="C214" authorId="1">
      <text>
        <r>
          <rPr>
            <b/>
            <sz val="9"/>
            <color indexed="81"/>
            <rFont val="Tahoma"/>
            <family val="2"/>
          </rPr>
          <t>estagioeduca01:</t>
        </r>
        <r>
          <rPr>
            <sz val="9"/>
            <color indexed="81"/>
            <rFont val="Tahoma"/>
            <family val="2"/>
          </rPr>
          <t xml:space="preserve">
Da onde sairam os valores?</t>
        </r>
      </text>
    </comment>
    <comment ref="F214" authorId="0">
      <text>
        <r>
          <rPr>
            <b/>
            <sz val="8"/>
            <color indexed="81"/>
            <rFont val="Tahoma"/>
            <family val="2"/>
          </rPr>
          <t>estagioeduca02:</t>
        </r>
        <r>
          <rPr>
            <sz val="8"/>
            <color indexed="81"/>
            <rFont val="Tahoma"/>
            <family val="2"/>
          </rPr>
          <t xml:space="preserve">
MUDEI AS ÁREAS</t>
        </r>
      </text>
    </comment>
    <comment ref="B219" authorId="0">
      <text>
        <r>
          <rPr>
            <b/>
            <sz val="8"/>
            <color indexed="81"/>
            <rFont val="Tahoma"/>
            <family val="2"/>
          </rPr>
          <t>estagioeduca02:</t>
        </r>
        <r>
          <rPr>
            <sz val="8"/>
            <color indexed="81"/>
            <rFont val="Tahoma"/>
            <family val="2"/>
          </rPr>
          <t xml:space="preserve">
RETIRAR E VERIFICAR COM LARISSA </t>
        </r>
      </text>
    </comment>
    <comment ref="F222" authorId="0">
      <text>
        <r>
          <rPr>
            <b/>
            <sz val="8"/>
            <color indexed="81"/>
            <rFont val="Tahoma"/>
            <family val="2"/>
          </rPr>
          <t>estagioeduca02:</t>
        </r>
        <r>
          <rPr>
            <sz val="8"/>
            <color indexed="81"/>
            <rFont val="Tahoma"/>
            <family val="2"/>
          </rPr>
          <t xml:space="preserve">
VERIFICAR COM LARISSA A AREA</t>
        </r>
      </text>
    </comment>
    <comment ref="F243" authorId="1">
      <text>
        <r>
          <rPr>
            <b/>
            <sz val="9"/>
            <color indexed="81"/>
            <rFont val="Tahoma"/>
            <family val="2"/>
          </rPr>
          <t>estagioeduca01:</t>
        </r>
        <r>
          <rPr>
            <sz val="9"/>
            <color indexed="81"/>
            <rFont val="Tahoma"/>
            <family val="2"/>
          </rPr>
          <t xml:space="preserve">
94,45m² + 43,1033m² da calçada lado externo, e dia 18/05 foi descontado paver da rampa de acesso</t>
        </r>
      </text>
    </comment>
    <comment ref="F244" authorId="1">
      <text>
        <r>
          <rPr>
            <b/>
            <sz val="9"/>
            <color indexed="81"/>
            <rFont val="Tahoma"/>
            <family val="2"/>
          </rPr>
          <t>estagioeduca01:</t>
        </r>
        <r>
          <rPr>
            <sz val="9"/>
            <color indexed="81"/>
            <rFont val="Tahoma"/>
            <family val="2"/>
          </rPr>
          <t xml:space="preserve">
28,4 m² da calçada </t>
        </r>
      </text>
    </comment>
    <comment ref="F245" authorId="1">
      <text>
        <r>
          <rPr>
            <b/>
            <sz val="9"/>
            <color indexed="81"/>
            <rFont val="Tahoma"/>
            <family val="2"/>
          </rPr>
          <t>estagioeduca01:</t>
        </r>
        <r>
          <rPr>
            <sz val="9"/>
            <color indexed="81"/>
            <rFont val="Tahoma"/>
            <family val="2"/>
          </rPr>
          <t xml:space="preserve">
2,4153 m² do acesso para cadeirantes</t>
        </r>
      </text>
    </comment>
    <comment ref="F247" authorId="1">
      <text>
        <r>
          <rPr>
            <b/>
            <sz val="9"/>
            <color indexed="81"/>
            <rFont val="Tahoma"/>
            <family val="2"/>
          </rPr>
          <t>estagioeduca01:</t>
        </r>
        <r>
          <rPr>
            <sz val="9"/>
            <color indexed="81"/>
            <rFont val="Tahoma"/>
            <family val="2"/>
          </rPr>
          <t xml:space="preserve">
75,56 M + 38,56 M DA CALÇADA FRENTE E TRÁS DO CDI</t>
        </r>
      </text>
    </comment>
    <comment ref="D252" authorId="1">
      <text>
        <r>
          <rPr>
            <b/>
            <sz val="9"/>
            <color indexed="81"/>
            <rFont val="Tahoma"/>
            <family val="2"/>
          </rPr>
          <t>estagioeduca01:</t>
        </r>
        <r>
          <rPr>
            <sz val="9"/>
            <color indexed="81"/>
            <rFont val="Tahoma"/>
            <family val="2"/>
          </rPr>
          <t xml:space="preserve">
ADD ESP. TÉC. DO REVESTIMENTO (ABLTELAS EMAIL)
</t>
        </r>
      </text>
    </comment>
    <comment ref="G275" authorId="1">
      <text>
        <r>
          <rPr>
            <b/>
            <sz val="9"/>
            <color indexed="81"/>
            <rFont val="Tahoma"/>
            <family val="2"/>
          </rPr>
          <t>estagioeduca01:</t>
        </r>
        <r>
          <rPr>
            <sz val="9"/>
            <color indexed="81"/>
            <rFont val="Tahoma"/>
            <family val="2"/>
          </rPr>
          <t xml:space="preserve">
No IPPUJ ~R$19,00 - ver</t>
        </r>
      </text>
    </comment>
  </commentList>
</comments>
</file>

<file path=xl/comments2.xml><?xml version="1.0" encoding="utf-8"?>
<comments xmlns="http://schemas.openxmlformats.org/spreadsheetml/2006/main">
  <authors>
    <author>estagioeduca02</author>
    <author>estagioeduca01</author>
  </authors>
  <commentList>
    <comment ref="E47" authorId="0">
      <text>
        <r>
          <rPr>
            <b/>
            <sz val="8"/>
            <color indexed="81"/>
            <rFont val="Tahoma"/>
            <family val="2"/>
          </rPr>
          <t>estagioeduca02:</t>
        </r>
        <r>
          <rPr>
            <sz val="8"/>
            <color indexed="81"/>
            <rFont val="Tahoma"/>
            <family val="2"/>
          </rPr>
          <t xml:space="preserve">
ALTERADO DEVIDO AO ACRESCIMO DA CASA DA CAIXA D'AGUA PARA LIMPEZA</t>
        </r>
      </text>
    </comment>
    <comment ref="AE66" authorId="1">
      <text>
        <r>
          <rPr>
            <b/>
            <sz val="9"/>
            <color indexed="81"/>
            <rFont val="Tahoma"/>
            <family val="2"/>
          </rPr>
          <t>estagioeduca01:</t>
        </r>
        <r>
          <rPr>
            <sz val="9"/>
            <color indexed="81"/>
            <rFont val="Tahoma"/>
            <family val="2"/>
          </rPr>
          <t xml:space="preserve">
9,85 banheiro externo sem a parede do bebedouro, e mais 11 para revestimento de pastilha toda branca na despensa
</t>
        </r>
      </text>
    </comment>
    <comment ref="AH66" authorId="1">
      <text>
        <r>
          <rPr>
            <b/>
            <sz val="9"/>
            <color indexed="81"/>
            <rFont val="Tahoma"/>
            <family val="2"/>
          </rPr>
          <t>estagioeduca01:</t>
        </r>
        <r>
          <rPr>
            <sz val="9"/>
            <color indexed="81"/>
            <rFont val="Tahoma"/>
            <family val="2"/>
          </rPr>
          <t xml:space="preserve">
30cm a mais por causa dos respingos de água do bebedouro</t>
        </r>
      </text>
    </comment>
    <comment ref="G86" authorId="0">
      <text>
        <r>
          <rPr>
            <b/>
            <sz val="8"/>
            <color indexed="81"/>
            <rFont val="Tahoma"/>
            <family val="2"/>
          </rPr>
          <t>estagioeduca02:</t>
        </r>
        <r>
          <rPr>
            <sz val="8"/>
            <color indexed="81"/>
            <rFont val="Tahoma"/>
            <family val="2"/>
          </rPr>
          <t xml:space="preserve">
PAREDES AUMENTARAM EM 80 CENTIMETROS EM RELAÇÃO AO ANTIGO PROJETO, LARISSA AUMENTOU 40 CENTIMETROS E MAIS 40 POR DECRETO DO EDMUNDO</t>
        </r>
      </text>
    </comment>
    <comment ref="H196" authorId="1">
      <text>
        <r>
          <rPr>
            <b/>
            <sz val="9"/>
            <color indexed="81"/>
            <rFont val="Tahoma"/>
            <family val="2"/>
          </rPr>
          <t>estagioeduca01:</t>
        </r>
        <r>
          <rPr>
            <sz val="9"/>
            <color indexed="81"/>
            <rFont val="Tahoma"/>
            <family val="2"/>
          </rPr>
          <t xml:space="preserve">
Confirmar se são dois joelhos em cada tubo de escoamento vertical do ar condicionado</t>
        </r>
      </text>
    </comment>
  </commentList>
</comments>
</file>

<file path=xl/sharedStrings.xml><?xml version="1.0" encoding="utf-8"?>
<sst xmlns="http://schemas.openxmlformats.org/spreadsheetml/2006/main" count="2348" uniqueCount="1263">
  <si>
    <t>ORÇAMENTO</t>
  </si>
  <si>
    <t>BDI</t>
  </si>
  <si>
    <t>ITEM</t>
  </si>
  <si>
    <t>CÓDIGO</t>
  </si>
  <si>
    <t>DESCRIÇÃO</t>
  </si>
  <si>
    <t>UNIDADE</t>
  </si>
  <si>
    <t>QUANT.</t>
  </si>
  <si>
    <t>R$ UNITARIO</t>
  </si>
  <si>
    <t>R$ UNIT.C/BDI</t>
  </si>
  <si>
    <t xml:space="preserve">PREÇO TOTAL </t>
  </si>
  <si>
    <t>1.</t>
  </si>
  <si>
    <t>SERVIÇOS PRELIMINARES</t>
  </si>
  <si>
    <t>1.1</t>
  </si>
  <si>
    <t>M2</t>
  </si>
  <si>
    <t>1.2</t>
  </si>
  <si>
    <t>-</t>
  </si>
  <si>
    <t>1.3</t>
  </si>
  <si>
    <t>1.4</t>
  </si>
  <si>
    <t>2.</t>
  </si>
  <si>
    <t>2.1</t>
  </si>
  <si>
    <t>M3</t>
  </si>
  <si>
    <t>2.2</t>
  </si>
  <si>
    <t>3.</t>
  </si>
  <si>
    <t>FUNDAÇÃO</t>
  </si>
  <si>
    <t>3.1</t>
  </si>
  <si>
    <t>M</t>
  </si>
  <si>
    <t>4.</t>
  </si>
  <si>
    <t>4.1</t>
  </si>
  <si>
    <t>KG</t>
  </si>
  <si>
    <t>5.</t>
  </si>
  <si>
    <t xml:space="preserve">ALVENARIA  </t>
  </si>
  <si>
    <t>5.1</t>
  </si>
  <si>
    <t>5.2</t>
  </si>
  <si>
    <t>6.</t>
  </si>
  <si>
    <t>REVESTIMENTO</t>
  </si>
  <si>
    <t>6.1</t>
  </si>
  <si>
    <t>6.2</t>
  </si>
  <si>
    <t>IMPERMEABILIZACAO</t>
  </si>
  <si>
    <t>7.1</t>
  </si>
  <si>
    <t>7.2</t>
  </si>
  <si>
    <t>7.3</t>
  </si>
  <si>
    <t>7.4</t>
  </si>
  <si>
    <t>8.</t>
  </si>
  <si>
    <t>HIDROSSANITÁRIO</t>
  </si>
  <si>
    <t>8.1</t>
  </si>
  <si>
    <t>8.2</t>
  </si>
  <si>
    <t>9.</t>
  </si>
  <si>
    <t>DRENAGEM</t>
  </si>
  <si>
    <t>9.1</t>
  </si>
  <si>
    <t>9.2</t>
  </si>
  <si>
    <t>9.3</t>
  </si>
  <si>
    <t>10.</t>
  </si>
  <si>
    <t>ELÉTRICA</t>
  </si>
  <si>
    <t>10.1</t>
  </si>
  <si>
    <t>10.2</t>
  </si>
  <si>
    <t>10.3</t>
  </si>
  <si>
    <t>10.4</t>
  </si>
  <si>
    <t>10.5</t>
  </si>
  <si>
    <t>10.6</t>
  </si>
  <si>
    <t>10.7</t>
  </si>
  <si>
    <t>10.8</t>
  </si>
  <si>
    <t>10.9</t>
  </si>
  <si>
    <t>10.10</t>
  </si>
  <si>
    <t>10.11</t>
  </si>
  <si>
    <t>10.12</t>
  </si>
  <si>
    <t>10.13</t>
  </si>
  <si>
    <t>11.</t>
  </si>
  <si>
    <t>COBERTURA</t>
  </si>
  <si>
    <t>11.1</t>
  </si>
  <si>
    <t>11.2</t>
  </si>
  <si>
    <t>11.3</t>
  </si>
  <si>
    <t>11.4</t>
  </si>
  <si>
    <t>11.7</t>
  </si>
  <si>
    <t>12.</t>
  </si>
  <si>
    <t>ESQUADRIAS</t>
  </si>
  <si>
    <t>12.1</t>
  </si>
  <si>
    <t>12.2</t>
  </si>
  <si>
    <t>12.3</t>
  </si>
  <si>
    <t>12.4</t>
  </si>
  <si>
    <t>12.5</t>
  </si>
  <si>
    <t>12.6</t>
  </si>
  <si>
    <t>12.7</t>
  </si>
  <si>
    <t>12.8</t>
  </si>
  <si>
    <t>13.</t>
  </si>
  <si>
    <t xml:space="preserve">PINTURA   </t>
  </si>
  <si>
    <t>13.1</t>
  </si>
  <si>
    <t>13.2</t>
  </si>
  <si>
    <t>14.</t>
  </si>
  <si>
    <t>PREVENTIVO</t>
  </si>
  <si>
    <t>14.1</t>
  </si>
  <si>
    <t>14.2</t>
  </si>
  <si>
    <t>14.3</t>
  </si>
  <si>
    <t>14.4</t>
  </si>
  <si>
    <t>14.5</t>
  </si>
  <si>
    <t>15.</t>
  </si>
  <si>
    <t>URBANISMO</t>
  </si>
  <si>
    <t>15.1</t>
  </si>
  <si>
    <t>15.2</t>
  </si>
  <si>
    <t>15.3</t>
  </si>
  <si>
    <t>15.4</t>
  </si>
  <si>
    <t>15.5</t>
  </si>
  <si>
    <t>16.1</t>
  </si>
  <si>
    <t>17.</t>
  </si>
  <si>
    <t xml:space="preserve">LIMPEZA FINAL DE OBRA </t>
  </si>
  <si>
    <t>17.1</t>
  </si>
  <si>
    <t>TOTAL GERAL</t>
  </si>
  <si>
    <t>Engenheiro Civil</t>
  </si>
  <si>
    <t>1.5</t>
  </si>
  <si>
    <t>1.6</t>
  </si>
  <si>
    <t>P1</t>
  </si>
  <si>
    <t>Largura</t>
  </si>
  <si>
    <t>Altura</t>
  </si>
  <si>
    <t>P2</t>
  </si>
  <si>
    <t>P3</t>
  </si>
  <si>
    <t>Área</t>
  </si>
  <si>
    <t>P4</t>
  </si>
  <si>
    <t>P6</t>
  </si>
  <si>
    <t>Cód.</t>
  </si>
  <si>
    <t>PJ01</t>
  </si>
  <si>
    <t>J01</t>
  </si>
  <si>
    <t>J02</t>
  </si>
  <si>
    <t>J03</t>
  </si>
  <si>
    <t>J04</t>
  </si>
  <si>
    <t>J05</t>
  </si>
  <si>
    <t>J06</t>
  </si>
  <si>
    <t>J07</t>
  </si>
  <si>
    <t>J08</t>
  </si>
  <si>
    <t>J09</t>
  </si>
  <si>
    <t>Cálculo de Alvenaria</t>
  </si>
  <si>
    <t>C. D'ÁGUA</t>
  </si>
  <si>
    <t>Edificação</t>
  </si>
  <si>
    <t>PLATIBANDA</t>
  </si>
  <si>
    <t>LOCAL</t>
  </si>
  <si>
    <t>PAREDE</t>
  </si>
  <si>
    <t>ALTURA* (m)</t>
  </si>
  <si>
    <t>DESCONTOS (m²)</t>
  </si>
  <si>
    <t>ÁREA (m²)</t>
  </si>
  <si>
    <t>TABELA DE ESQUADRIAS</t>
  </si>
  <si>
    <t>Cálculo de chapisco/reboco</t>
  </si>
  <si>
    <t>LARGURA (m) externo</t>
  </si>
  <si>
    <t>ÁREA TOTAL (m²)</t>
  </si>
  <si>
    <t>ALTURA (m) externo</t>
  </si>
  <si>
    <t>1 à 6</t>
  </si>
  <si>
    <t xml:space="preserve">Edificação </t>
  </si>
  <si>
    <t>Altura (m) interno</t>
  </si>
  <si>
    <t>21 e 29</t>
  </si>
  <si>
    <t>22 e 30</t>
  </si>
  <si>
    <t>27, 35, 37, 39</t>
  </si>
  <si>
    <t xml:space="preserve">7 e 8 </t>
  </si>
  <si>
    <t>34, 36 e 38</t>
  </si>
  <si>
    <t>20 e 28</t>
  </si>
  <si>
    <t>9 à 14</t>
  </si>
  <si>
    <t>TOTAL</t>
  </si>
  <si>
    <t xml:space="preserve">CAIXA D'ÁGUA </t>
  </si>
  <si>
    <t xml:space="preserve">TOTAL </t>
  </si>
  <si>
    <t xml:space="preserve"> Cálculo da soleira</t>
  </si>
  <si>
    <t>Porta</t>
  </si>
  <si>
    <t>PAREDES</t>
  </si>
  <si>
    <t>TETO</t>
  </si>
  <si>
    <t>1, 7, 20, 21</t>
  </si>
  <si>
    <t>2, 8, 21, 21</t>
  </si>
  <si>
    <t>3, 22, 30, 11, 23</t>
  </si>
  <si>
    <t>11, 30, 31, 32</t>
  </si>
  <si>
    <t>4, 23, 24, 33</t>
  </si>
  <si>
    <t>33, 12, 23, 24</t>
  </si>
  <si>
    <t>24, 25, 12, 4</t>
  </si>
  <si>
    <t>5, 25, 13, 26</t>
  </si>
  <si>
    <t>26, 6, 27, 14, 15</t>
  </si>
  <si>
    <t>15, 34, 35, 16</t>
  </si>
  <si>
    <t>36, 37, 16, 17</t>
  </si>
  <si>
    <t>38, 39, 17, 18</t>
  </si>
  <si>
    <t>38, 39, 18, 19</t>
  </si>
  <si>
    <t>Platibanda</t>
  </si>
  <si>
    <t>PAREDES DE CONTORNO</t>
  </si>
  <si>
    <t/>
  </si>
  <si>
    <t xml:space="preserve">Ambiente </t>
  </si>
  <si>
    <t>Recepção</t>
  </si>
  <si>
    <t>Direção</t>
  </si>
  <si>
    <t>Sala 01</t>
  </si>
  <si>
    <t>Sala 02</t>
  </si>
  <si>
    <t>Cozinha</t>
  </si>
  <si>
    <t>Despensa</t>
  </si>
  <si>
    <t>Almoxarifado</t>
  </si>
  <si>
    <t>Lavanderia</t>
  </si>
  <si>
    <t>Parede</t>
  </si>
  <si>
    <t>Porta/Janela Código</t>
  </si>
  <si>
    <t>Verga (m)</t>
  </si>
  <si>
    <t>Contraverga (m)</t>
  </si>
  <si>
    <t>P01</t>
  </si>
  <si>
    <t>Cálculo de verga/contraverga</t>
  </si>
  <si>
    <t>P01, J02</t>
  </si>
  <si>
    <t>x</t>
  </si>
  <si>
    <t xml:space="preserve">x </t>
  </si>
  <si>
    <t>P01, J01</t>
  </si>
  <si>
    <t>P03, J06, J07</t>
  </si>
  <si>
    <t>J06, J04, P01</t>
  </si>
  <si>
    <t>J04, P01</t>
  </si>
  <si>
    <t>P04</t>
  </si>
  <si>
    <t>Par. 1</t>
  </si>
  <si>
    <t>Par. 2</t>
  </si>
  <si>
    <t>Par. 3</t>
  </si>
  <si>
    <t>Par. 4</t>
  </si>
  <si>
    <t>Par. 5</t>
  </si>
  <si>
    <t>Par. 6</t>
  </si>
  <si>
    <t>Par. 7</t>
  </si>
  <si>
    <t>Par. 8</t>
  </si>
  <si>
    <t>Par. 9</t>
  </si>
  <si>
    <t>Par. 10</t>
  </si>
  <si>
    <t>Par. 11</t>
  </si>
  <si>
    <t>Par. 12</t>
  </si>
  <si>
    <t>Par. 13</t>
  </si>
  <si>
    <t>Par. 14</t>
  </si>
  <si>
    <t>Par. 15</t>
  </si>
  <si>
    <t>Par. 16</t>
  </si>
  <si>
    <t>Par. 17</t>
  </si>
  <si>
    <t>Par. 18</t>
  </si>
  <si>
    <t>Par. 19</t>
  </si>
  <si>
    <t>Par. 20</t>
  </si>
  <si>
    <t>Par. 21</t>
  </si>
  <si>
    <t>Par. 22</t>
  </si>
  <si>
    <t>Par. 23</t>
  </si>
  <si>
    <t>Par. 24</t>
  </si>
  <si>
    <t>Par. 25</t>
  </si>
  <si>
    <t>Par. 26</t>
  </si>
  <si>
    <t>Par. 27</t>
  </si>
  <si>
    <t>Par. 28</t>
  </si>
  <si>
    <t>Par. 29</t>
  </si>
  <si>
    <t>Par. 30</t>
  </si>
  <si>
    <t>Par. 31</t>
  </si>
  <si>
    <t>Par. 32</t>
  </si>
  <si>
    <t>Par. 33</t>
  </si>
  <si>
    <t>Par. 34</t>
  </si>
  <si>
    <t>Par. 35</t>
  </si>
  <si>
    <t>Par. 36</t>
  </si>
  <si>
    <t>Par. 37</t>
  </si>
  <si>
    <t>Par. 38</t>
  </si>
  <si>
    <t>Par. 39</t>
  </si>
  <si>
    <t>J08, P04</t>
  </si>
  <si>
    <t>P02</t>
  </si>
  <si>
    <t>J09, P01</t>
  </si>
  <si>
    <t>P01, P01</t>
  </si>
  <si>
    <t>J06, J06</t>
  </si>
  <si>
    <t>Verga ultrapassa 50 cm o limite da porta</t>
  </si>
  <si>
    <t>Janela</t>
  </si>
  <si>
    <t>Comprimento total</t>
  </si>
  <si>
    <t>TODAS</t>
  </si>
  <si>
    <t>Cobertura</t>
  </si>
  <si>
    <t>Banheiro 01</t>
  </si>
  <si>
    <t>Banheiro 02</t>
  </si>
  <si>
    <t>Banheiro 03</t>
  </si>
  <si>
    <t>Banheiro 04</t>
  </si>
  <si>
    <t xml:space="preserve">LARGURA (m) interno*  = Largura interno - largura dos pilares </t>
  </si>
  <si>
    <t xml:space="preserve">Par. 1 </t>
  </si>
  <si>
    <t>Par. 40</t>
  </si>
  <si>
    <t>Par. 41</t>
  </si>
  <si>
    <t>Par. 42</t>
  </si>
  <si>
    <t>Par. 43</t>
  </si>
  <si>
    <t>Par. 44</t>
  </si>
  <si>
    <t>Par. 45</t>
  </si>
  <si>
    <t>Par. 46</t>
  </si>
  <si>
    <t>Par. 47</t>
  </si>
  <si>
    <t>Par. 48</t>
  </si>
  <si>
    <t>Par. 49</t>
  </si>
  <si>
    <t xml:space="preserve">Cálculo de contrapiso </t>
  </si>
  <si>
    <t>Pátio coberto</t>
  </si>
  <si>
    <t>Ambiente</t>
  </si>
  <si>
    <t>Área (m²)</t>
  </si>
  <si>
    <t>7, 9, 28, 29</t>
  </si>
  <si>
    <t>8, 10, 29, 30</t>
  </si>
  <si>
    <t>Biblioteca</t>
  </si>
  <si>
    <t>Sala dos professores</t>
  </si>
  <si>
    <t>Área total (m²)</t>
  </si>
  <si>
    <t>Cálculo de Piso</t>
  </si>
  <si>
    <t>Tipo de piso</t>
  </si>
  <si>
    <t>Cerâmico</t>
  </si>
  <si>
    <t>Térmico vinílico</t>
  </si>
  <si>
    <t>Par. 50</t>
  </si>
  <si>
    <t>Par. 51</t>
  </si>
  <si>
    <t>Par. 52</t>
  </si>
  <si>
    <t>Par. 53</t>
  </si>
  <si>
    <t>Par. 54</t>
  </si>
  <si>
    <t>Edificação (banheiro externo) **</t>
  </si>
  <si>
    <t xml:space="preserve">**Considerou-se 30 cm de viga - parede estrutural sem laje. </t>
  </si>
  <si>
    <t>*Altura edificação = Pé direito - altura viga + altura laje = 3,50 - 0,40 + 0,16</t>
  </si>
  <si>
    <t>BANHEIRO EXTERNO OK</t>
  </si>
  <si>
    <t xml:space="preserve">Forro PVC no banheiro externo </t>
  </si>
  <si>
    <t>Banheiro externo feminino</t>
  </si>
  <si>
    <t>Banheiro externo masculino</t>
  </si>
  <si>
    <t>Cano PVC marrom 25mm</t>
  </si>
  <si>
    <t>Cano PVC marrom 50mm</t>
  </si>
  <si>
    <t>Cano PVC branco 75mm</t>
  </si>
  <si>
    <t>Cano PVC branco 100mm</t>
  </si>
  <si>
    <t>Peça</t>
  </si>
  <si>
    <t>Cálculo de Hidrossanitário</t>
  </si>
  <si>
    <t xml:space="preserve">PVC marrom = água fria </t>
  </si>
  <si>
    <t>PVC branco = esgoto</t>
  </si>
  <si>
    <t>Sistema</t>
  </si>
  <si>
    <t>Luva 25mm</t>
  </si>
  <si>
    <t>Luva 50mm</t>
  </si>
  <si>
    <t>Água fria (PVC marrom)</t>
  </si>
  <si>
    <t>Esgoto (PVC branco)</t>
  </si>
  <si>
    <t xml:space="preserve">Joelho 90° 25mm </t>
  </si>
  <si>
    <t xml:space="preserve">Joelho 90° 50mm </t>
  </si>
  <si>
    <t>Cano 20mm</t>
  </si>
  <si>
    <t>cano 25mm</t>
  </si>
  <si>
    <t xml:space="preserve">Joelho 90° 20mm </t>
  </si>
  <si>
    <t xml:space="preserve">Tê 20mm </t>
  </si>
  <si>
    <t xml:space="preserve">Tê 25mm </t>
  </si>
  <si>
    <t xml:space="preserve">Tê 50mm </t>
  </si>
  <si>
    <t>Caixa de gordura 60x80</t>
  </si>
  <si>
    <t>Redução (25-20) (joelhos e tês)</t>
  </si>
  <si>
    <t>Água quente (Aqueterm)</t>
  </si>
  <si>
    <t>Tê 75mm</t>
  </si>
  <si>
    <t>Tê 100mm</t>
  </si>
  <si>
    <t>Y 100mm</t>
  </si>
  <si>
    <t>Y 75mm</t>
  </si>
  <si>
    <t xml:space="preserve">Joelho 90° 75mm </t>
  </si>
  <si>
    <t xml:space="preserve">Joelho 90° 100mm </t>
  </si>
  <si>
    <t>Curva 45° 75mm</t>
  </si>
  <si>
    <t>Curva 45° 100mm</t>
  </si>
  <si>
    <t>Quantidade original</t>
  </si>
  <si>
    <t>Quantidade * FS</t>
  </si>
  <si>
    <t>CPVC = Água quente</t>
  </si>
  <si>
    <t>Bucha de redução (50-25) (joelhos e tês)</t>
  </si>
  <si>
    <t>Reservatório Boiler 500mL</t>
  </si>
  <si>
    <t>Caixa de passagem 60x60</t>
  </si>
  <si>
    <t>Geral</t>
  </si>
  <si>
    <t>Ralo sifonado</t>
  </si>
  <si>
    <t>Porta sabonete líquido</t>
  </si>
  <si>
    <t>Porta papel toalha interfolha</t>
  </si>
  <si>
    <t>Porta papel higiênico</t>
  </si>
  <si>
    <t xml:space="preserve">RGA água fria </t>
  </si>
  <si>
    <t xml:space="preserve">RGA água quente </t>
  </si>
  <si>
    <t>RGA TOTAL = 25</t>
  </si>
  <si>
    <t>Drenagem</t>
  </si>
  <si>
    <t>Quantidade</t>
  </si>
  <si>
    <t xml:space="preserve">Boca de lobo simples </t>
  </si>
  <si>
    <t>Boca de lobo dupla</t>
  </si>
  <si>
    <t>Caixa de passagem</t>
  </si>
  <si>
    <t>Tubo 100mm PVC (descida calha)</t>
  </si>
  <si>
    <t>Tubo 200mm concreto</t>
  </si>
  <si>
    <t>Tubo 300mm concreto</t>
  </si>
  <si>
    <t>FS (10%)</t>
  </si>
  <si>
    <t>Tubo 25mm PVC ar con.</t>
  </si>
  <si>
    <t>Tubo 50mm PVC ar con.</t>
  </si>
  <si>
    <t>Joelho 90° 25mm</t>
  </si>
  <si>
    <t>Joelho 90° 50mm</t>
  </si>
  <si>
    <t>Tê 50mm</t>
  </si>
  <si>
    <t>Redução 25/50</t>
  </si>
  <si>
    <t>Joelho 90° 100mm</t>
  </si>
  <si>
    <t>Redução 100-75mm (joelhos e tês)</t>
  </si>
  <si>
    <t>Sala 03</t>
  </si>
  <si>
    <t>V1</t>
  </si>
  <si>
    <t xml:space="preserve">Comprimento </t>
  </si>
  <si>
    <t>Largura de impermeabilizante</t>
  </si>
  <si>
    <t>Viga</t>
  </si>
  <si>
    <t>V2</t>
  </si>
  <si>
    <t>V3</t>
  </si>
  <si>
    <t>V4</t>
  </si>
  <si>
    <t>V5</t>
  </si>
  <si>
    <t>V6</t>
  </si>
  <si>
    <t>V7</t>
  </si>
  <si>
    <t>V8</t>
  </si>
  <si>
    <t>V9</t>
  </si>
  <si>
    <t>V10</t>
  </si>
  <si>
    <t>V11</t>
  </si>
  <si>
    <t>V12</t>
  </si>
  <si>
    <t>V13</t>
  </si>
  <si>
    <t>V14</t>
  </si>
  <si>
    <t>V15</t>
  </si>
  <si>
    <t>V16</t>
  </si>
  <si>
    <t>V17</t>
  </si>
  <si>
    <t>V18</t>
  </si>
  <si>
    <t>V19</t>
  </si>
  <si>
    <t>V20</t>
  </si>
  <si>
    <t>V21</t>
  </si>
  <si>
    <t>COMPRIMENTO (m)</t>
  </si>
  <si>
    <t>IMPERMEABILIZAÇÃO COM MANTA ASFÁLTICA ENTRE A VIGA BALDRAME E A ALVENARIA + 2cm PARA CADA LADO</t>
  </si>
  <si>
    <t>IMPERMEABILIZAÇÃO</t>
  </si>
  <si>
    <t xml:space="preserve">ÁREA DE IMPERMEABILIZAÇÃO COM TINTA BETUMINOSA EM VOLTA DA VIGA BALDRAME (PAREDES LATERAIS E EM CIMA DA V.B.) </t>
  </si>
  <si>
    <t xml:space="preserve">LARGURA (m) interno </t>
  </si>
  <si>
    <t>IMPERMEABILIZAÇÃO COM ARMAGASSA C/ ADITIVO IMPERMEABILIZANTE</t>
  </si>
  <si>
    <t>IPPUJ C10.76.30.20.010</t>
  </si>
  <si>
    <t>IPPUJ C10.72.19.75.015</t>
  </si>
  <si>
    <t>IPPUJ C10.72.19.60.020</t>
  </si>
  <si>
    <t>IPPUJ C10.80.05.50.105</t>
  </si>
  <si>
    <t>IPPUJ C10.08.05.15.025</t>
  </si>
  <si>
    <t xml:space="preserve">ESTRUTURA DE CONCRETO </t>
  </si>
  <si>
    <t>IPPUJ C10.28.10.15.005</t>
  </si>
  <si>
    <t>IPPUJ C10.28.10.10.005</t>
  </si>
  <si>
    <t>IPPUJ    C10.36.14.05.005</t>
  </si>
  <si>
    <t>11.8</t>
  </si>
  <si>
    <t>IPPUJ C10.52.15.05.010</t>
  </si>
  <si>
    <t>IPPUJ C10.68.20.05.005</t>
  </si>
  <si>
    <t>IPPUJ C10.76.10.12.015</t>
  </si>
  <si>
    <t>AS BUILT</t>
  </si>
  <si>
    <t>IPPUJ I10.05.05.35.005</t>
  </si>
  <si>
    <t>IPPUJ C10.64.20.25.010</t>
  </si>
  <si>
    <t>IPPUJ C10.84.10.30.015</t>
  </si>
  <si>
    <t>7.5</t>
  </si>
  <si>
    <t>7.6</t>
  </si>
  <si>
    <t>7.7</t>
  </si>
  <si>
    <t>8.4</t>
  </si>
  <si>
    <t>11.9</t>
  </si>
  <si>
    <t>11.10</t>
  </si>
  <si>
    <t>15.6</t>
  </si>
  <si>
    <t>IPPUJ C10.56.15.10.017</t>
  </si>
  <si>
    <t>PAREDES INTERNAS</t>
  </si>
  <si>
    <t>PAREDES EXTERNAS</t>
  </si>
  <si>
    <t>ÁREA (M²)</t>
  </si>
  <si>
    <t>CAIXA DÁGUA</t>
  </si>
  <si>
    <t>BANHEIRO EXTERNO</t>
  </si>
  <si>
    <t>TOTAL TETO</t>
  </si>
  <si>
    <t>TOTAL INTERNO</t>
  </si>
  <si>
    <t xml:space="preserve">PINTURA TOTAL = </t>
  </si>
  <si>
    <t>DESCONTOS (M²)</t>
  </si>
  <si>
    <t>LARGURA (M) externo</t>
  </si>
  <si>
    <t>LARGURA (M) interno *</t>
  </si>
  <si>
    <t>ALTURA (M) externo</t>
  </si>
  <si>
    <t>Altura (M) interno</t>
  </si>
  <si>
    <t>ÁREA TOTAL (M²)</t>
  </si>
  <si>
    <t>MOVIMENTAÇÃO DE TERRA</t>
  </si>
  <si>
    <t>IPPUJ C10.72.19.10.033</t>
  </si>
  <si>
    <t>Aço para estrutura de concreto</t>
  </si>
  <si>
    <t>Ø</t>
  </si>
  <si>
    <t>Viga cerca</t>
  </si>
  <si>
    <t>Ø8mm</t>
  </si>
  <si>
    <t>Local</t>
  </si>
  <si>
    <t>Ø10mm</t>
  </si>
  <si>
    <t>Ø6,3mm</t>
  </si>
  <si>
    <t>Ø5mm</t>
  </si>
  <si>
    <t>Viga cerca - estribo</t>
  </si>
  <si>
    <t>MERCADO</t>
  </si>
  <si>
    <t>13.3</t>
  </si>
  <si>
    <t>13.4</t>
  </si>
  <si>
    <t>13.5</t>
  </si>
  <si>
    <t>Pilar do portão de entrada</t>
  </si>
  <si>
    <t>Massa (kg/m)</t>
  </si>
  <si>
    <t>kg</t>
  </si>
  <si>
    <t>Pilar do portão de entrada - estribo</t>
  </si>
  <si>
    <t>Bloco de coroamento</t>
  </si>
  <si>
    <t>Bloco de coroamento - estribo</t>
  </si>
  <si>
    <t>Bloco de coroa. - cobrimento estribo</t>
  </si>
  <si>
    <t>Total tabela acima (kg)</t>
  </si>
  <si>
    <t>Radier</t>
  </si>
  <si>
    <t>Concreto</t>
  </si>
  <si>
    <t>Pilar portão de entrada</t>
  </si>
  <si>
    <t>Volume (m³)</t>
  </si>
  <si>
    <t>↓</t>
  </si>
  <si>
    <t>5.3</t>
  </si>
  <si>
    <t>5.4</t>
  </si>
  <si>
    <t>5.5</t>
  </si>
  <si>
    <t>7.</t>
  </si>
  <si>
    <t>7.8</t>
  </si>
  <si>
    <t>7.9</t>
  </si>
  <si>
    <t>7.10</t>
  </si>
  <si>
    <t>7.11</t>
  </si>
  <si>
    <t>7.12</t>
  </si>
  <si>
    <t>7.13</t>
  </si>
  <si>
    <t>7.14</t>
  </si>
  <si>
    <t>7.15</t>
  </si>
  <si>
    <t>7.16</t>
  </si>
  <si>
    <t>7.18</t>
  </si>
  <si>
    <t>7.19</t>
  </si>
  <si>
    <t>7.20</t>
  </si>
  <si>
    <t>7.21</t>
  </si>
  <si>
    <t>7.22</t>
  </si>
  <si>
    <t>8.5</t>
  </si>
  <si>
    <t>8.6</t>
  </si>
  <si>
    <t>8.7</t>
  </si>
  <si>
    <t>10.14</t>
  </si>
  <si>
    <t>10.15</t>
  </si>
  <si>
    <t>10.16</t>
  </si>
  <si>
    <t>10.17</t>
  </si>
  <si>
    <t>10.18</t>
  </si>
  <si>
    <t>10.19</t>
  </si>
  <si>
    <t>10.20</t>
  </si>
  <si>
    <t>10.21</t>
  </si>
  <si>
    <t>10.22</t>
  </si>
  <si>
    <t>10.23</t>
  </si>
  <si>
    <t>10.24</t>
  </si>
  <si>
    <t>10.25</t>
  </si>
  <si>
    <t>10.26</t>
  </si>
  <si>
    <t>10.27</t>
  </si>
  <si>
    <t>10.28</t>
  </si>
  <si>
    <t>10.29</t>
  </si>
  <si>
    <t>10.30</t>
  </si>
  <si>
    <t>10.31</t>
  </si>
  <si>
    <t>10.32</t>
  </si>
  <si>
    <t>10.33</t>
  </si>
  <si>
    <t>10.34</t>
  </si>
  <si>
    <t>10.35</t>
  </si>
  <si>
    <t>10.36</t>
  </si>
  <si>
    <t>10.37</t>
  </si>
  <si>
    <t>10.38</t>
  </si>
  <si>
    <t>10.39</t>
  </si>
  <si>
    <t>10.40</t>
  </si>
  <si>
    <t>10.41</t>
  </si>
  <si>
    <t>10.42</t>
  </si>
  <si>
    <t>10.43</t>
  </si>
  <si>
    <t>10.44</t>
  </si>
  <si>
    <t>10.45</t>
  </si>
  <si>
    <t>10.46</t>
  </si>
  <si>
    <t>10.47</t>
  </si>
  <si>
    <t>10.48</t>
  </si>
  <si>
    <t>10.49</t>
  </si>
  <si>
    <t>10.50</t>
  </si>
  <si>
    <t>10.51</t>
  </si>
  <si>
    <t>10.52</t>
  </si>
  <si>
    <t>10.53</t>
  </si>
  <si>
    <t>10.55</t>
  </si>
  <si>
    <t>12.9</t>
  </si>
  <si>
    <t>12.10</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</si>
  <si>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</si>
  <si>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</si>
  <si>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</si>
  <si>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</si>
  <si>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</si>
  <si>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</si>
  <si>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</si>
  <si>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</si>
  <si>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</si>
  <si>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</si>
  <si>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</si>
  <si>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</si>
  <si>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</si>
  <si>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</si>
  <si>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</si>
  <si>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</si>
  <si>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</si>
  <si>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</si>
  <si>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</si>
  <si>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</si>
  <si>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</si>
  <si>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</si>
  <si>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</si>
  <si>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</si>
  <si>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</si>
  <si>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</si>
  <si>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13.8</t>
  </si>
  <si>
    <t>16.2</t>
  </si>
  <si>
    <t>16.3</t>
  </si>
  <si>
    <t>16.4</t>
  </si>
  <si>
    <t>16.5</t>
  </si>
  <si>
    <t>16.6</t>
  </si>
  <si>
    <t>16.7</t>
  </si>
  <si>
    <t>16.8</t>
  </si>
  <si>
    <t>16.9</t>
  </si>
  <si>
    <t>16.10</t>
  </si>
  <si>
    <t>16.11</t>
  </si>
  <si>
    <t>16.12</t>
  </si>
  <si>
    <t>16.13</t>
  </si>
  <si>
    <t>16.14</t>
  </si>
  <si>
    <t>16.15</t>
  </si>
  <si>
    <t>18.</t>
  </si>
  <si>
    <t>18.1</t>
  </si>
  <si>
    <t>Banheiro 2m²</t>
  </si>
  <si>
    <t>Banheiro 6,74m²</t>
  </si>
  <si>
    <t>Banheiro 9,60 m²</t>
  </si>
  <si>
    <t>Banheiro deficientes</t>
  </si>
  <si>
    <t>Banheiro externo fem.</t>
  </si>
  <si>
    <t>Banheiro externo masc.</t>
  </si>
  <si>
    <t>→→→</t>
  </si>
  <si>
    <t>PAREDES INTERNAS E EXTERNAS (TOTAL INTERNAS - REVESTIMENTO CERÂMICO INTERNO AO LADO = ÁREA DE PINTURA INTERNA)</t>
  </si>
  <si>
    <t>PERÍMETRO EXTERNO</t>
  </si>
  <si>
    <t>ALTURA EXTERNO</t>
  </si>
  <si>
    <t>8.8</t>
  </si>
  <si>
    <t>IPPUJ C10.38.22.30.007</t>
  </si>
  <si>
    <t>Pastilha cerâmica externa (10x10)cm</t>
  </si>
  <si>
    <t>DESCONTOS (M)</t>
  </si>
  <si>
    <t>PERÍMETRO (M)</t>
  </si>
  <si>
    <t>PAREDE BEBEDOURO EXTERNO</t>
  </si>
  <si>
    <t>ALTURA PAREDE BEBEDOURO EXTERNO</t>
  </si>
  <si>
    <t>Revestimento cerâmico interno (banheiros e cozinha)</t>
  </si>
  <si>
    <t>Pastilha porcelana decorativa - banheiros e cozinha) (2,5x2,5)cm</t>
  </si>
  <si>
    <t>P7</t>
  </si>
  <si>
    <t>PASSA PRATOS, P01</t>
  </si>
  <si>
    <t>J06, P01</t>
  </si>
  <si>
    <t>8.9</t>
  </si>
  <si>
    <t>8.10</t>
  </si>
  <si>
    <t>16.16</t>
  </si>
  <si>
    <t>16.17</t>
  </si>
  <si>
    <t>16.18</t>
  </si>
  <si>
    <t>16.19</t>
  </si>
  <si>
    <t>IPPUJ C10.76.10.60.233</t>
  </si>
  <si>
    <t>IPPUJ I21.05.20.20.1065</t>
  </si>
  <si>
    <t>6.3</t>
  </si>
  <si>
    <t>10.57</t>
  </si>
  <si>
    <t>IPPUJ C10.72.19.35.008</t>
  </si>
  <si>
    <t>IPPUJ C10.68.20.05.030</t>
  </si>
  <si>
    <t>Parede 15cm</t>
  </si>
  <si>
    <t xml:space="preserve"> Cálculo da soleira e peitoril (PAREDES 20CM)</t>
  </si>
  <si>
    <t xml:space="preserve">Parede </t>
  </si>
  <si>
    <t>PAREDE 15CM</t>
  </si>
  <si>
    <t>IPPUJ I10.90.15.05.006</t>
  </si>
  <si>
    <t>8.11</t>
  </si>
  <si>
    <t>8.12</t>
  </si>
  <si>
    <t>IPPUJ C10.40.15.10.005</t>
  </si>
  <si>
    <t>8.13</t>
  </si>
  <si>
    <t>8.14</t>
  </si>
  <si>
    <t xml:space="preserve">IPPUJ I16.20.05.05.4155 </t>
  </si>
  <si>
    <t>IPPUJ I10.15.10.15.020</t>
  </si>
  <si>
    <t>8.3</t>
  </si>
  <si>
    <t>10.54</t>
  </si>
  <si>
    <t>10.58</t>
  </si>
  <si>
    <t>10.59</t>
  </si>
  <si>
    <t xml:space="preserve">IPPUJ I16.10.05.05.0510 </t>
  </si>
  <si>
    <t xml:space="preserve">IPPUJ I16.10.05.05.0503 </t>
  </si>
  <si>
    <t>IPPUJ I16.10.05.05.0750</t>
  </si>
  <si>
    <t>IPPUJ I16.10.05.05.0525</t>
  </si>
  <si>
    <t xml:space="preserve">IPPUJ C10.44.40.15.015 </t>
  </si>
  <si>
    <t>Sala dos Professores</t>
  </si>
  <si>
    <t>TOTAL (M)</t>
  </si>
  <si>
    <t xml:space="preserve"> TOTAL (M)</t>
  </si>
  <si>
    <t xml:space="preserve">IPPUJ C10.44.15.20.005 </t>
  </si>
  <si>
    <t xml:space="preserve">Rodapé - salas de aula </t>
  </si>
  <si>
    <t xml:space="preserve">Rodapé cerâmico antiderrapante </t>
  </si>
  <si>
    <t>8.15</t>
  </si>
  <si>
    <t>7.17</t>
  </si>
  <si>
    <t>10.56</t>
  </si>
  <si>
    <t>10.60</t>
  </si>
  <si>
    <t>10.61</t>
  </si>
  <si>
    <t>10.62</t>
  </si>
  <si>
    <t>10.63</t>
  </si>
  <si>
    <t>IPPUJ C10.48.10.05.025</t>
  </si>
  <si>
    <t>12.39</t>
  </si>
  <si>
    <t>7.23</t>
  </si>
  <si>
    <t xml:space="preserve">IPPUJ I10.97.10.05.005 </t>
  </si>
  <si>
    <t>7.24</t>
  </si>
  <si>
    <t>7.25</t>
  </si>
  <si>
    <t xml:space="preserve">IPPUJ C10.68.20.05.040 </t>
  </si>
  <si>
    <t xml:space="preserve">IPPUJ 10.40.50.15.005 </t>
  </si>
  <si>
    <t>8.16</t>
  </si>
  <si>
    <t>IPPUJ C10.44.25.12.015</t>
  </si>
  <si>
    <t>IPPUJ C10.44.25.12.016</t>
  </si>
  <si>
    <t>IPPUJ I10.99.05.15.364</t>
  </si>
  <si>
    <t>NÃO EXISTE MAIS - REMOVIDA</t>
  </si>
  <si>
    <t>.</t>
  </si>
  <si>
    <t>CAIXA D´ÁGUA EM POLIETILENO, 1000 LITROS, COM ACESSÓRIOS</t>
  </si>
  <si>
    <t>UN</t>
  </si>
  <si>
    <t>INSUMO</t>
  </si>
  <si>
    <t>ADAPTADOR PVC ROSCAVEL, COM FLANGES E ANEL DE VEDACAO, 1/2", PARA CAIXA D' AGUA</t>
  </si>
  <si>
    <t>87</t>
  </si>
  <si>
    <t>ADAPTADOR PVC SOLDAVEL, LONGO, COM FLANGE LIVRE,  25 MM X 3/4", PARA CAIXA D' AGUA</t>
  </si>
  <si>
    <t>119</t>
  </si>
  <si>
    <t>ADESIVO PLASTICO PARA PVC, BISNAGA COM 75 GR</t>
  </si>
  <si>
    <t>3146</t>
  </si>
  <si>
    <t>FITA VEDA ROSCA EM ROLOS DE 18 MM X 10 M (L X C)</t>
  </si>
  <si>
    <t>9868</t>
  </si>
  <si>
    <t>TUBO PVC, SOLDAVEL, DN 25 MM, AGUA FRIA (NBR-5648)</t>
  </si>
  <si>
    <t>REGISTRO DE ESFERA, PVC, COM VOLANTE, VS, SOLDAVEL, DN 32 MM, COM CORPO DIVIDIDO</t>
  </si>
  <si>
    <t>11829</t>
  </si>
  <si>
    <t>TORNEIRA METALICA DE BOIA CONVENCIONAL PARA CAIXA D'AGUA, 1/2", COM HASTE METALICA E BALAO PLASTICO</t>
  </si>
  <si>
    <t>COMPOSICAO</t>
  </si>
  <si>
    <t>88248</t>
  </si>
  <si>
    <t>AUXILIAR DE ENCANADOR OU BOMBEIRO HIDRÁULICO COM ENCARGOS COMPLEMENTARES</t>
  </si>
  <si>
    <t>H</t>
  </si>
  <si>
    <t>88267</t>
  </si>
  <si>
    <t>ENCANADOR OU BOMBEIRO HIDRÁULICO COM ENCARGOS COMPLEMENTARES</t>
  </si>
  <si>
    <t>TUBO PVC, SOLDAVEL, DN 50 MM, AGUA FRIA (NBR-5648)</t>
  </si>
  <si>
    <t>TE SOLDAVEL, PVC, 90 GRAUS, 50 MM, PARA AGUA FRIA PREDIAL (NBR 5648)</t>
  </si>
  <si>
    <t>CAIXA D'AGUA EM POLIETILENO 3000 LITROS, COM TAMPA</t>
  </si>
  <si>
    <t xml:space="preserve"> - </t>
  </si>
  <si>
    <t>ADAPTADOR PVC SOLDAVEL, COM FLANGES LIVRES, 50 MM X 1", PARA CAIXA D' AGUA</t>
  </si>
  <si>
    <t>JOELHO PVC, SOLDAVEL, 90 GRAUS, 50 MM, PARA AGUA FRIA PREDIAL</t>
  </si>
  <si>
    <t>R$</t>
  </si>
  <si>
    <t>COMP 01</t>
  </si>
  <si>
    <t>IPPUJ C10.60.30.10.010</t>
  </si>
  <si>
    <t>16.20</t>
  </si>
  <si>
    <t>16.21</t>
  </si>
  <si>
    <t>16.23</t>
  </si>
  <si>
    <t>16.24</t>
  </si>
  <si>
    <t>IPPUJ I05.15.05.15.005</t>
  </si>
  <si>
    <t>DEINFRA                       42591</t>
  </si>
  <si>
    <t>DEINFRA              42570</t>
  </si>
  <si>
    <t xml:space="preserve">DEINFRA              42583     </t>
  </si>
  <si>
    <t>MOVT</t>
  </si>
  <si>
    <t>79472</t>
  </si>
  <si>
    <t>REGULARIZACAO DE SUPERFICIES EM TERRA COM MOTONIVELADORA</t>
  </si>
  <si>
    <t>5932</t>
  </si>
  <si>
    <t>MOTONIVELADORA POTÊNCIA BÁSICA LÍQUIDA (PRIMEIRA MARCHA) 125 HP, PESO BRUTO 13032 KG, LARGURA DA LÂMINA DE 3,7 M - CHP DIURNO. AF_06/2014</t>
  </si>
  <si>
    <t>CHP</t>
  </si>
  <si>
    <t>0,0030000</t>
  </si>
  <si>
    <t>COMP 02</t>
  </si>
  <si>
    <t>5851</t>
  </si>
  <si>
    <t>TRATOR DE ESTEIRAS, POTÊNCIA 150 HP, PESO OPERACIONAL 16,7 T, COM RODA MOTRIZ ELEVADA E LÂMINA 3,18 M3 - CHP DIURNO. AF_06/2014</t>
  </si>
  <si>
    <t>73436</t>
  </si>
  <si>
    <t>ROLO COMPACTADOR VIBRATÓRIO PÉ DE CARNEIRO PARA SOLOS, POTÊNCIA 80 HP, PESO OPERACIONAL SEM/COM LASTRO 7,4 / 8,8 T, LARGURA DE TRABALHO 1,68 M - CHP DIURNO. AF_02/2016</t>
  </si>
  <si>
    <t>REGULARIZACAO DE SUPERFICIES EM TERRA COM MAQUINAS MECANIZADAS</t>
  </si>
  <si>
    <r>
      <t>TERRAPLENAGEM</t>
    </r>
    <r>
      <rPr>
        <b/>
        <sz val="10"/>
        <color rgb="FFFF0000"/>
        <rFont val="Arial"/>
        <family val="2"/>
      </rPr>
      <t xml:space="preserve"> </t>
    </r>
  </si>
  <si>
    <t>Estrutural</t>
  </si>
  <si>
    <t>CA-60</t>
  </si>
  <si>
    <t>CA-50</t>
  </si>
  <si>
    <t xml:space="preserve">Forma </t>
  </si>
  <si>
    <t>Blocos</t>
  </si>
  <si>
    <t>Colarinho</t>
  </si>
  <si>
    <t>Baldrame</t>
  </si>
  <si>
    <t>Laje macica d piso</t>
  </si>
  <si>
    <t>Pilares</t>
  </si>
  <si>
    <t xml:space="preserve">Vigas </t>
  </si>
  <si>
    <t>Laje Macica do forro</t>
  </si>
  <si>
    <t>Total</t>
  </si>
  <si>
    <t>PARE</t>
  </si>
  <si>
    <t>89289</t>
  </si>
  <si>
    <t>ALVENARIA ESTRUTURAL DE BLOCOS CERÂMICOS 14X19X39, (ESPESSURA DE 14 CM), PARA PAREDES COM ÁREA LÍQUIDA MAIOR OU IGUAL A 6M², COM VÃOS, UTILIZANDO PALHETA E ARGAMASSA DE ASSENTAMENTO COM PREPARO MANUAL. AF_12/2014</t>
  </si>
  <si>
    <t>34547</t>
  </si>
  <si>
    <t>TELA DE ACO SOLDADA GALVANIZADA/ZINCADA PARA ALVENARIA, FIO  D = *1,20 A 1,70* MM, MALHA 15 X 15 MM, (C X L) *50 X 12* CM</t>
  </si>
  <si>
    <t>0,3950000</t>
  </si>
  <si>
    <t>34588</t>
  </si>
  <si>
    <t>BLOCO ESTRUTURAL CERAMICO 14 X 19 X 39 CM, 6,0 MPA (NBR 15270)</t>
  </si>
  <si>
    <t>9,3700000</t>
  </si>
  <si>
    <t>34655</t>
  </si>
  <si>
    <t>CANALETA ESTRUTURAL CERAMICA, 14 X 19 X 39 CM, 6,0 MPA (NBR 15270)</t>
  </si>
  <si>
    <t>2,1600000</t>
  </si>
  <si>
    <t>34781</t>
  </si>
  <si>
    <t>MEIO BLOCO ESTRUTURAL CERAMICO 14 X 19 X 19 CM, 6,0 MPA (NBR 15270)</t>
  </si>
  <si>
    <t>1,4400000</t>
  </si>
  <si>
    <t>38548</t>
  </si>
  <si>
    <t>CANALETA ESTRUTURAL CERAMICA, 14 X 19 X 19 CM, 6,0 MPA (NBR 15270)</t>
  </si>
  <si>
    <t>0,1200000</t>
  </si>
  <si>
    <t>38603</t>
  </si>
  <si>
    <t>BLOCO ESTRUTURAL CERAMICO 14 X 19 X 34 CM, 6,0 MPA (NBR 15270)</t>
  </si>
  <si>
    <t>0,7200000</t>
  </si>
  <si>
    <t>87367</t>
  </si>
  <si>
    <t>ARGAMASSA TRAÇO 1:1:6 (CIMENTO, CAL E AREIA MÉDIA) PARA EMBOÇO/MASSA ÚNICA/ASSENTAMENTO DE ALVENARIA DE VEDAÇÃO, PREPARO MANUAL. AF_06/2014</t>
  </si>
  <si>
    <t>0,0127000</t>
  </si>
  <si>
    <t>88309</t>
  </si>
  <si>
    <t>PEDREIRO COM ENCARGOS COMPLEMENTARES</t>
  </si>
  <si>
    <t>0,6100000</t>
  </si>
  <si>
    <t>88316</t>
  </si>
  <si>
    <t>SERVENTE COM ENCARGOS COMPLEMENTARES</t>
  </si>
  <si>
    <t>0,3000000</t>
  </si>
  <si>
    <t>89290</t>
  </si>
  <si>
    <t>ALVENARIA ESTRUTURAL DE BLOCOS CERÂMICOS 14X19X29, (ESPESSURA DE 14 CM), PARA PAREDES COM ÁREA LÍQUIDA MENOR QUE 6M², SEM VÃOS, UTILIZANDO PALHETA E ARGAMASSA DE ASSENTAMENTO COM PREPARO EM BETONEIRA. AF_12/2014</t>
  </si>
  <si>
    <t>0,8700000</t>
  </si>
  <si>
    <t>34586</t>
  </si>
  <si>
    <t>BLOCO ESTRUTURAL CERAMICO 14 X 19 X 29 CM, 6,0 MPA (NBR 15270)</t>
  </si>
  <si>
    <t>15,2800000</t>
  </si>
  <si>
    <t>34649</t>
  </si>
  <si>
    <t>CANALETA ESTRUTURAL CERAMICA, 14 X 19 X 29 CM, 6,0 MPA (NBR 15270)</t>
  </si>
  <si>
    <t>1,2700000</t>
  </si>
  <si>
    <t>34788</t>
  </si>
  <si>
    <t>MEIO BLOCO ESTRUTURAL CERAMICO 14 X 19 X 14 CM, 6,0 MPA (NBR 15270)</t>
  </si>
  <si>
    <t>1,5300000</t>
  </si>
  <si>
    <t>87286</t>
  </si>
  <si>
    <t>ARGAMASSA TRAÇO 1:1:6 (CIMENTO, CAL E AREIA MÉDIA) PARA EMBOÇO/MASSA ÚNICA/ASSENTAMENTO DE ALVENARIA DE VEDAÇÃO, PREPARO MECÂNICO COM BETONEIRA 400 L. AF_06/2014</t>
  </si>
  <si>
    <t>0,0141000</t>
  </si>
  <si>
    <t>0,9200000</t>
  </si>
  <si>
    <t>0,4600000</t>
  </si>
  <si>
    <t xml:space="preserve">S/ ABERTURA </t>
  </si>
  <si>
    <t>C/ ABERTURA</t>
  </si>
  <si>
    <t>6.4</t>
  </si>
  <si>
    <t>13.9</t>
  </si>
  <si>
    <t>11.5</t>
  </si>
  <si>
    <t>11.6</t>
  </si>
  <si>
    <t>11.11</t>
  </si>
  <si>
    <t>11.12</t>
  </si>
  <si>
    <t>DEINFRA          42639</t>
  </si>
  <si>
    <t>10.64</t>
  </si>
  <si>
    <t>12.38</t>
  </si>
  <si>
    <t>IPPUJ I10.98.10.05.005</t>
  </si>
  <si>
    <t>IPPUJ I10.98.10.05.010</t>
  </si>
  <si>
    <t>16.22</t>
  </si>
  <si>
    <t>16.25</t>
  </si>
  <si>
    <t>16.26</t>
  </si>
  <si>
    <t>16.27</t>
  </si>
  <si>
    <t>IPPUJ C10.36.20.12.010</t>
  </si>
  <si>
    <t>13.6</t>
  </si>
  <si>
    <t>13.7</t>
  </si>
  <si>
    <t>14.6</t>
  </si>
  <si>
    <t>10.65</t>
  </si>
  <si>
    <t>10.66</t>
  </si>
  <si>
    <t>INHI</t>
  </si>
  <si>
    <t>4823</t>
  </si>
  <si>
    <t>MASSA PLASTICA PARA MARMORE/GRANITO</t>
  </si>
  <si>
    <t>0,2974000</t>
  </si>
  <si>
    <t>88274</t>
  </si>
  <si>
    <t>MARMORISTA/GRANITEIRO COM ENCARGOS COMPLEMENTARES</t>
  </si>
  <si>
    <t>0,4800000</t>
  </si>
  <si>
    <t>0,1500000</t>
  </si>
  <si>
    <t>CUBA ACO INOX DE EMBUTIR COM VALVULA 3 1/2 ", DE *60 X 40 X 20* CM</t>
  </si>
  <si>
    <t>I10.70.20.10.016</t>
  </si>
  <si>
    <t>Sifão em metal cromado 1 1/2" x 1 1/2"</t>
  </si>
  <si>
    <t>I16.05.05.10.4680</t>
  </si>
  <si>
    <t>Válvula em metal cromado tipo americana 3.1/2" x 1.1/2" p/ pia de cozinha</t>
  </si>
  <si>
    <t>I25.05.05.05.018</t>
  </si>
  <si>
    <t>I25.05.05.05.085</t>
  </si>
  <si>
    <t>Encanador</t>
  </si>
  <si>
    <t>IPPUJ</t>
  </si>
  <si>
    <t>Ajudante de encanador</t>
  </si>
  <si>
    <t>CUBA DE EMBUTIR DE AÇO INOXIDÁVEL  - FORNECIMENTO E INSTALAÇÃO.</t>
  </si>
  <si>
    <t>COMP 03</t>
  </si>
  <si>
    <t>COMP 04</t>
  </si>
  <si>
    <t>PINTURA FAIXA AZUL</t>
  </si>
  <si>
    <t>14.7</t>
  </si>
  <si>
    <t>15.7</t>
  </si>
  <si>
    <t>15.8</t>
  </si>
  <si>
    <t>15.9</t>
  </si>
  <si>
    <t>CUBA ACO INOX DE EMBUTIR COM VALVULA 3 1/2 ", DE *165 X 50 X 70* CM</t>
  </si>
  <si>
    <t>Placa da obra em chapa de aço galvanizado.</t>
  </si>
  <si>
    <t>Instalação/ligação provisória de energia para canteiro de obra.</t>
  </si>
  <si>
    <t>Instalação/ligação provisória de água para canteiro de obra.</t>
  </si>
  <si>
    <t>Locação da obra, incluindo serviços de topografia completos, como: cotas da edificação total, delimitações e demarcações, locação de estacas e gabaritos, cercas, urbanização, nivelamento, e inclusive projeto devidamente assinado juntamente com mídia digital. Verificar memorial descritivo.</t>
  </si>
  <si>
    <t>Escavação manual de valas até 1m (fundações, vigas baldrames e vigas da cerca).</t>
  </si>
  <si>
    <t>Armação aço CA-60 (fornecimento, corte, dobra, montagem e colocação) diam. Até 6,0 mm.</t>
  </si>
  <si>
    <t>m²</t>
  </si>
  <si>
    <t>un</t>
  </si>
  <si>
    <t>m³</t>
  </si>
  <si>
    <t>m</t>
  </si>
  <si>
    <t>Fechadura de embutir completa, para portas externas, padrão de acabamento popular.</t>
  </si>
  <si>
    <t>Joelho 90 graus pvc branco ø100 mm.</t>
  </si>
  <si>
    <t>Sistema de tratamento de esgoto cloacal pré-fabricado, tanque séptico capacidade 5040l conforme projeto, incluso escavação, instalação e mão de obra.</t>
  </si>
  <si>
    <t>Sistema de tratamento de esgoto cloacal pré-fabricado, filtro anaeróbio capacidade 4800l conforme projeto, incluso escavação, instalação e mão de obra.</t>
  </si>
  <si>
    <t>Entrada de água padrão samae, incluso medidor, materiais e mão de obra.</t>
  </si>
  <si>
    <t>Interface com termômetro digital para controle a distância.</t>
  </si>
  <si>
    <t>Vaso sanitário com caixa acoplada botão com duplo acionamento, com acessórios, engate flexível cromado, inclusive assento plástico - fornecimento e instalação.</t>
  </si>
  <si>
    <t>Vaso sanitário infantil com caixa acoplada botão com duplo acionamento, com acessórios, engate flexível cromado, inclusive assento plástico - fornecimento e instalação.</t>
  </si>
  <si>
    <t>Lavatório em louça branco suspenso, colocado com acessórios e flexível cromado.</t>
  </si>
  <si>
    <t>Lavatório de canto em louça branca suspenso (40x30)cm, colocado com acessórios e flexível cromado.</t>
  </si>
  <si>
    <t>Chuveiro elétrico tipo ducha, branco, padrão popular.</t>
  </si>
  <si>
    <t>Tampo de granito 250x80cm sanitários bebês com base de alvenaria,  e portas em alumínio de correr na parte inferior e base de alvenaria 10 cm, e altura final de 1,00 metro. Conferir memorial descritivo.</t>
  </si>
  <si>
    <t>Caixa d'água em polietileno, 3000 litros, com suporte de apoio em madeira de lei, cambará ou similar, incluso kit de acessórios para ligação, bóia entre outros.</t>
  </si>
  <si>
    <t>Cuba em aço inox simples para fixação em tampo de granito na cozinha (60x40x20) (comprimento/largura/altura), incluso materiais de fixação como válvula e sifão cromados, e ligação na tubulação de esgotamento sanitário. Verificar projeto arquitetônico e modelo em memorial descritivo.</t>
  </si>
  <si>
    <t>par</t>
  </si>
  <si>
    <t>Escavação manual de cavas e valas de 1,00 até 2,50 metros.</t>
  </si>
  <si>
    <t>Escavação manual de valas até 1m para drenagem de águas pluviais.</t>
  </si>
  <si>
    <t>Tubo pvc ø100mm para drenagem, incluso escavação, instalação e compactação.</t>
  </si>
  <si>
    <t>Eletroduto de pvc flexível 1", fornecimento e instalação.</t>
  </si>
  <si>
    <t>Eletroduto de pvc rígido roscável 1.1/2", fornecimento e instalação.</t>
  </si>
  <si>
    <t>Eletroduto de pvc rígido roscável 1.1/4", fornecimento e instalação.</t>
  </si>
  <si>
    <t>Eletroduto de pvc rígido roscável 2", fornecimento e instalação.</t>
  </si>
  <si>
    <t>Eletroduto de pvc rígido roscável 2.1/2", fornecimento e instalação.</t>
  </si>
  <si>
    <t>Quadro de distribuição de energia de embutir, em chapa metálica, para 32 disjuntores termomagnéticos monopolares, com barramento trifásico e neutro, fornecimento e instalação.</t>
  </si>
  <si>
    <t>Cobertura com telha de policarbonato translúcida ondulada espessura 0,8 mm, incluso acessórios de fixação.</t>
  </si>
  <si>
    <t>Pintura esmalte fosco para madeira, duas demãos, sobre fundo nivelador branco (incluso a aplicação do fundo nivelador).</t>
  </si>
  <si>
    <t>Pintura acrílica para sinalização horizontal em piso cimentado. Sinalização para rampa de acesso para cadeirantes na calçada. Conferir memorial descritivo.</t>
  </si>
  <si>
    <t>Meio-fio de concreto pré-moldado, dimensões (100x15x13x20)cm -(comprimento x base inferior x base superior x altura), rejuntado com argamassa. Incluso escavação e aterro apiloado.</t>
  </si>
  <si>
    <t>Piso podotátil direcional pvc (25x25)cm - para sobreposição em piso cerâmico, incluso material para colagem e mão de obra.</t>
  </si>
  <si>
    <t>Kit de fechadura eletromagnética para portão de entrada com botão de acionamento interno, sensor de porta aberta. Incluso instalação, aterramento, fiação e mão de obra.</t>
  </si>
  <si>
    <t>Plantio de grama esmeralda em rolo.</t>
  </si>
  <si>
    <t>Corrimão em tubos de aço inoxidável 2" (alto padrão) com flanges para fixação, altura de 92 cm do piso acabado das barras de apoio, e 112 cm de altura do guarda corpo, sendo 10 cm engastados no radier. Barras verticais a cada 73,5 cm, acabamento polido, com detalhe curvado no início e no final do corrimão, incluso frete instalação e todos os materiais necessários. Verificar projeto e memorial descritivo.</t>
  </si>
  <si>
    <t>Complemento do item 16.18 (poste de iluminação): lâmpada vapor metálico tubular 250w, manter mesmo padrão de lâmpada que está inclusa no item anterior. Incluso instalação destas no poste.</t>
  </si>
  <si>
    <t>Trave para campo de esportes no cdi, 8 cm de diâmetro, dimensões (300x200) cm (largura/altura) , 100 cm de recuo inferior e 60 cm de recuo superior na cor branca.</t>
  </si>
  <si>
    <t>Fita de demarcação 6 cm de largura de fibra para campo de futebol com fixador. Instalado.</t>
  </si>
  <si>
    <t>As built da edificação e do terreno com levantamento topográfico planialtimétrico.</t>
  </si>
  <si>
    <t>Limpeza final da obra.</t>
  </si>
  <si>
    <t>Alvenaria estrutural de blocos cerâmicos (14x19x29)cm, (espessura de 14 cm), sem vãos, incluso argamassa de assentamento - as 4 primeiras fiadas levam argamassa de assentamento com impermeabilizante. Parede sem abertura.</t>
  </si>
  <si>
    <t>Alvenaria estrutural de blocos cerâmicos (14x19x29)cm, (espessura de 14 cm), com vãos, incluso argamassa de assentamento - as 4 primeiras fiadas levam argamassa de assentamento com impermeabilizante. Paredes com abertura.</t>
  </si>
  <si>
    <t>SINAPI 74209/001</t>
  </si>
  <si>
    <t>SINAPI 41598</t>
  </si>
  <si>
    <t>SINAPI 73948/016</t>
  </si>
  <si>
    <t>Comp. 02</t>
  </si>
  <si>
    <t>SINAPI 92268</t>
  </si>
  <si>
    <t>IPPUJ C10.28.15.10.059</t>
  </si>
  <si>
    <t>SINAPI 74141/003</t>
  </si>
  <si>
    <t>SINAPI 87497</t>
  </si>
  <si>
    <t>SINAPI 93188</t>
  </si>
  <si>
    <t>SINAPI 89290</t>
  </si>
  <si>
    <t>SINAPI 89289</t>
  </si>
  <si>
    <t>SINAPI 90822</t>
  </si>
  <si>
    <t>SINAPI 90821</t>
  </si>
  <si>
    <t>Mercado</t>
  </si>
  <si>
    <t>Concreto usinado bombeado, fck=25MPa, inclusive lançamento e adensamento. Incluso teste de resistência à compressão de  4 corpos de prova por cada caminhão de concreto.</t>
  </si>
  <si>
    <t>Concreto armado em estrutura 18MPa, radier para rampa de acesso e escada na entrada do cdi.</t>
  </si>
  <si>
    <t>Laje pré-moldada beta 16 para 3,5kN/m2 vão até 5,2m, vigotas, blocos, armadura negativa e capeamento de 8cm de concreto 25MPa, incluso escoramento e materiais, mão de obra e cura úmida.</t>
  </si>
  <si>
    <t>Porta de madeira semi-oca (80x210)cm, de abrir - P01.</t>
  </si>
  <si>
    <t>Porta de madeira semi-oca (70x210)cm, de abrir - P02.</t>
  </si>
  <si>
    <t>Porta de madeira semi-oca com puxador horizontal e chapa metalica, NBR 9050,  (80x210)cm - P03.</t>
  </si>
  <si>
    <t>Porta madeira semi-oca (80x210)cm, de correr - P04.</t>
  </si>
  <si>
    <t>Porta alumínio tipo veneziana (70x160)cm, de abrir, perfil série 25, com guarnições - P05 - casa do lixo.</t>
  </si>
  <si>
    <t>Porta alumínio tipo veneziana (150x180)cm, de abrir, perfil série 25, com guarnições - P06 - casa do gás.</t>
  </si>
  <si>
    <t>Porta de vidro temperado liso (80x210)cm, abrir, esp.: 10mm, (80x210)cm. Com puxador, película e todos os acessórios complementares necessários. Instalada - P07.</t>
  </si>
  <si>
    <t>Porta de correr em alumínio tipo veneziana, branca, (140x70)cm,2 folhas, de correr, incluso perfis em alumínio e acessórios necessários para execução da instalação. Verificar projeto arquitetônico na parte de esquadria o item P09 - bancadas de alvenaria na cozinha, 02 unidades.</t>
  </si>
  <si>
    <t>Alçapão de madeira de lei de 1ª qualidade, (80x80)cm, de abrir - A01.</t>
  </si>
  <si>
    <t>Porta blindex vidro temperado quatro folhas (400x210)cm, com duas folhas fixas e duas de correr, incluso acessórios, instalação e fechadura - PJ01.</t>
  </si>
  <si>
    <t>Janela alumínio correr, linha 25 (160x110)cm, incluso guarnições e vidro incolor 4mm - J01.</t>
  </si>
  <si>
    <t>Janela alumínio maxim-ar, série 25, (120x110)cm, incluso guarnições e vidro incolor 4mm - J02.</t>
  </si>
  <si>
    <t>SINAPI 94570</t>
  </si>
  <si>
    <t>SINAPI 94569</t>
  </si>
  <si>
    <t>SINAPI 94573</t>
  </si>
  <si>
    <t>SINAPI 72119</t>
  </si>
  <si>
    <t>SINAPI 90830</t>
  </si>
  <si>
    <t>SINAPI 90831</t>
  </si>
  <si>
    <t>Janela alumínio correr, série 25, (300x110)cm, incluso guarnições e vidro incolor 4mm - J03.</t>
  </si>
  <si>
    <t>Janela alumínio maxim-ar, linha 25, (420x80)cm, incluso guarnições e vidro incolor 4mm - J04.</t>
  </si>
  <si>
    <t>Janela alumínio correr, série 25, (180x110)cm, com tela de proteção, incluso guarnições e vidro incolor 4mm - J05.</t>
  </si>
  <si>
    <t>Janela alumínio maxim-ar, série 25, (60x50)cm, incluso guarnições e vidro incolor 4mm - J06.</t>
  </si>
  <si>
    <t>Janela aluminio maxim-ar, serie 25, (40x50)cm, incluso guarnicoes e vidro incolor 4mm - J07.</t>
  </si>
  <si>
    <t>Janela de alumínio tipo veneziana tipo guilhotina, série 25, (60x110)cm - J09.</t>
  </si>
  <si>
    <t>SINAPI 87879</t>
  </si>
  <si>
    <t>SINAPI 84088</t>
  </si>
  <si>
    <t>IPPUJ C10.44.15.15.016</t>
  </si>
  <si>
    <t>SINAPI 72185</t>
  </si>
  <si>
    <t>SINAPI 87373</t>
  </si>
  <si>
    <t xml:space="preserve">Tampo de granito cinza andorinha (150x50)cm, espessura de 20mm para abertura de passa-pratos na cozinha, assentado com argamassa colante AC-II. Ver planta arquitetônica. </t>
  </si>
  <si>
    <t>Caixa sifonada pvc, (150x185x75)mm, com grelha quadrada branca, fornecida e instalada em ramais de encaminhamento de água pluvial.</t>
  </si>
  <si>
    <t>Joelho 90 graus pvc branco ø 75mm.</t>
  </si>
  <si>
    <t>Joelho 45 graus pvc branco ø100mm.</t>
  </si>
  <si>
    <t>Joelho 45 graus pvc branco ø75 mm.</t>
  </si>
  <si>
    <t>Tê pvc branco esgoto ø100mm .</t>
  </si>
  <si>
    <t>Tê pvc soldável ø75mm branco.</t>
  </si>
  <si>
    <t>Redução pvc branco  ø(100-75)mm.</t>
  </si>
  <si>
    <t>Junção simples pvc ø(100x100)mm - branco.</t>
  </si>
  <si>
    <t>Junção simples pvc ø(75x75)mm - branco.</t>
  </si>
  <si>
    <t>Junção simples pvc ø(100x75)mm - branco.</t>
  </si>
  <si>
    <t>Tubo de pvc soldável  ø100mm branco.</t>
  </si>
  <si>
    <t>Tubo de pvc  soldável  ø75mm branco.</t>
  </si>
  <si>
    <t>Registro bruto de latão com acabamento cromado de gaveta ø25mm.</t>
  </si>
  <si>
    <t>Registro bruto de latão com acabamento cromado de gaveta ø50mm.</t>
  </si>
  <si>
    <t>Joelho 90º pvc marrom soldável ø25 mm.</t>
  </si>
  <si>
    <t>Joelho 90º pvc marrom soldável ø50 mm.</t>
  </si>
  <si>
    <t>Redução pvc marrom soldável ø(50-25)mm.</t>
  </si>
  <si>
    <t>Tê 90º pvc marrom soldável ø25mm.</t>
  </si>
  <si>
    <t>Tê 90º pvc marrom soldável ø50mm.</t>
  </si>
  <si>
    <t>Luva pvc marrom soldável ø25mm.</t>
  </si>
  <si>
    <t>Luva pvc marrom soldável ø50mm.</t>
  </si>
  <si>
    <t>SINAPI 89491</t>
  </si>
  <si>
    <t>SINAPI 89737</t>
  </si>
  <si>
    <t>SINAPI 89746</t>
  </si>
  <si>
    <t>SINAPI 89744</t>
  </si>
  <si>
    <t>SINAPI 89739</t>
  </si>
  <si>
    <t>SINAPI 89796</t>
  </si>
  <si>
    <t>SINAPI 89786</t>
  </si>
  <si>
    <t>SINAPI 89714</t>
  </si>
  <si>
    <t>SINAPI 89713</t>
  </si>
  <si>
    <t>SINAPI 94495</t>
  </si>
  <si>
    <t>SINAPI 94498</t>
  </si>
  <si>
    <t>SINAPI 89362</t>
  </si>
  <si>
    <t>SINAPI 89501</t>
  </si>
  <si>
    <t>SINAPI 89579</t>
  </si>
  <si>
    <t>SINAPI 89395</t>
  </si>
  <si>
    <t>SINAPI 89625</t>
  </si>
  <si>
    <t>SINAPI 89534</t>
  </si>
  <si>
    <t>SINAPI 89575</t>
  </si>
  <si>
    <t>SINAPI 89449</t>
  </si>
  <si>
    <t>SINAPI 89402</t>
  </si>
  <si>
    <t>SINAPI 96644</t>
  </si>
  <si>
    <t>SINAPI 96650</t>
  </si>
  <si>
    <t>SINAPI 96710</t>
  </si>
  <si>
    <t>SINAPI 96656</t>
  </si>
  <si>
    <t>SINAPI 95547</t>
  </si>
  <si>
    <t>SINAPI 86904</t>
  </si>
  <si>
    <t>SINAPI 9535</t>
  </si>
  <si>
    <t>Joelho 90 graus, PPR, ø25 mm, instalado em prumadas, ramal e sub-ramal de água, fornecimento e instalação - água quente.</t>
  </si>
  <si>
    <t>Tê normal, PPR, ø25mm,instalado em prumada, ramal e sub-ramal de água quente, fornecimento e instalação - água quente.</t>
  </si>
  <si>
    <t>Tubo de pvc soldável ø 25mm marrom.</t>
  </si>
  <si>
    <t>Tubo de pvc marrom soldável ø50mm.</t>
  </si>
  <si>
    <t>Luva, PPR, DN 25 mm, classe PN 25, instalado em ramal de distribuição de água fornecimento e instalação - água quente.</t>
  </si>
  <si>
    <t>Reservatório boiler 500L, aço inox 304, isolamento poliuretano duplo, fator perda térmica de 0,11, com resistência elétrica auxiliar e termostato.</t>
  </si>
  <si>
    <t>Ducha higiênica para uso em lavatório de banheiro para portadores de necessidades especiais, regulagem de vazão por meio de comando na extremidade, acabamento cromado e extensão mínima de 1,30m.</t>
  </si>
  <si>
    <t>IPPUJ C10.72.19.75.001</t>
  </si>
  <si>
    <t>Comp. 01</t>
  </si>
  <si>
    <t>SINAPI 79627</t>
  </si>
  <si>
    <t>Cuba em aço inox  dupla para fixação em tampo de granito na cozinha (165x50x70)cm (comprimento/largura/altura), sendo 5cm do comprimento de divisória. Incluso materiais de fixação como válvula e sifão cromados, e ligação na tubulação de esgotamento sanitário. Verificar projeto arquitetônico e modelo em memorial descritivo.</t>
  </si>
  <si>
    <t>Comp. 03</t>
  </si>
  <si>
    <t>Comp. 04</t>
  </si>
  <si>
    <t>DEINFRA 42588</t>
  </si>
  <si>
    <t xml:space="preserve">DEINFRA 42583     </t>
  </si>
  <si>
    <t>SINAPI 89578</t>
  </si>
  <si>
    <t>SINAPI 89584</t>
  </si>
  <si>
    <t>SINAPI 83675</t>
  </si>
  <si>
    <t>SINAPI 83676</t>
  </si>
  <si>
    <t>SINAPI 91846</t>
  </si>
  <si>
    <t>SINAPI 93008</t>
  </si>
  <si>
    <t>SINAPI 91873</t>
  </si>
  <si>
    <t>SINAPI 93009</t>
  </si>
  <si>
    <t>SINAPI 93010</t>
  </si>
  <si>
    <t>SINAPI 72337</t>
  </si>
  <si>
    <t>SINAPI 73768/001</t>
  </si>
  <si>
    <t>SINAPI 73768/002</t>
  </si>
  <si>
    <t>SINAPI 83371</t>
  </si>
  <si>
    <t>SINAPI 91926</t>
  </si>
  <si>
    <t>SINAPI 72250</t>
  </si>
  <si>
    <t>SINAPI 72251</t>
  </si>
  <si>
    <t>SINAPI 72252</t>
  </si>
  <si>
    <t>SINAPI 72339</t>
  </si>
  <si>
    <t>SINAPI 74131/006</t>
  </si>
  <si>
    <t>SINAPI 93653</t>
  </si>
  <si>
    <t>SINAPI 93654</t>
  </si>
  <si>
    <t>SINAPI 93671</t>
  </si>
  <si>
    <t>SINAPI 93658</t>
  </si>
  <si>
    <t>SINAPI 93659</t>
  </si>
  <si>
    <t>DEINFRA 42520</t>
  </si>
  <si>
    <t>Quadro de distribuição para telefone, (20x20x12)cm em chapa metálica de embutir, fornecimento e instalação.</t>
  </si>
  <si>
    <t>Projeto  de rede de lógica e telefonia (técnico-executivo) com todas as indicações,nominações e devidas especificações conforme norma técnica vigente, cumprir rigorosamente todas as exigências das normas a respeito,projeto de instalação completa para essa edificação, incluso: apresentação 02 cópias de projeto e da art - anotação de responsabilidade técnica  assinado pelo profissional habilitado e pelo proprietário da empresa contratada [observação: o projeto deverá ser previamente analisado e aprovado pelos técnicos da secretaria de educação para posteriormente encaminhar a sua execução num todo]. Itens inclusos: observar projeto conforme item 12.2.</t>
  </si>
  <si>
    <t>Caixa de passagem (4x2)'' em ferro galvanizado.</t>
  </si>
  <si>
    <t>Caixa de passagem (4x4)'' em ferro galvanizado.</t>
  </si>
  <si>
    <t>Tomada trifásica 32A/440V para forno elétrico industrial com tampa, ver memorial.</t>
  </si>
  <si>
    <t>Haste de cobre 3m para aterramento com caixa de passagem e conectores.</t>
  </si>
  <si>
    <t>Caixa de passagem (40x40x50)cm fundo brita com tampa. Complemento do item anterior.</t>
  </si>
  <si>
    <t>Luminária led 18W tipo plafon, conforme memorial descritivo.</t>
  </si>
  <si>
    <t>Refletor led holofote 20W, a prova d'agua conforme memorial descritivo.</t>
  </si>
  <si>
    <t>Refletor led holofote 100W, a prova d'agua conforme memorial descritivo.</t>
  </si>
  <si>
    <t>Disjuntor monopolar tipo din, corrente nominal de 10A - fornecimento e instalação.</t>
  </si>
  <si>
    <t>Disjuntor monopolar tipo din, corrente nominal de 16A - fornecimento e instalação.</t>
  </si>
  <si>
    <t>Disjuntor tripolar tipo din, corrente nominal de 32A - fornecimento e instalação.</t>
  </si>
  <si>
    <t>Disjuntor monopolar tipo din, corrente nominal de 40A - fornecimento e instalação.</t>
  </si>
  <si>
    <t>Disjuntor monopolar tipo din, corrente nominal de 50A - fornecimento e instalação.</t>
  </si>
  <si>
    <t>DEINFRA 43409</t>
  </si>
  <si>
    <t>Suporte de concreto (40x10x20)cm para fixação de refletores sobre o solo com fixadores e grade de aço ø8mm - conforme projeto.</t>
  </si>
  <si>
    <t>Entrada padrão celesc subterrânea, incluso poste 7m, conduletes, caixas de passagem, quadros, medidores e outros, incluso material e mão de obra, exclusos cabos de cobre 25mm².</t>
  </si>
  <si>
    <t>Projeto de climatização (técnico_executivo) com indicação no local tipo ac/btu´s, cumprir rigorosamente todas as especificações e exigências de normas técnicas vigente a respeito,projeto de instalação completa para essa edificação _ incluso: apresentação 02 cópias de projeto e da art - anotação de responsabilidade técnica  assinado pelo profissional habilitado e pelo proprietário da empresa contratada [observação: o projeto deverá ser previamente analisado e aprovado pelos técnicos da secretaria de planejamento para posteriormente encaminhar a sua execução num todo].</t>
  </si>
  <si>
    <t>Estrutura metálica fixados com solda, para cobertura em treliçadas com vão de 13,00 metros (sala de recreação/refeitório fixado em parede e apoiado sobre pilares), em aço pintado com tinta epóxi com espaçamento de perfis metálicos U de chapa dobrada, H= 90 mm, L= 40 mm e espessura= 3 mm, densidade de 3,73 kg/m. Longarinas com espaçamento de 1 metro para apoio de telha sanduíche termoacústica com enchimento em poliuretano e telha translúcida de policarbonato (verificar plantas disponíveis). Incluso fornecimento e instalação das tesouras dos perfis, com todos os acessórios necessários para total fixação das longarinas na treliça e da telha nas longarinas. Verificar projeto arquitetônico.</t>
  </si>
  <si>
    <t>Cobertura com telha de aluzinco trapezoidal TP-40, espessura 0,5mm, incluso acessórios para total fixação na estrutura metálica.</t>
  </si>
  <si>
    <t>IPPUJ     C10.36.22.05.005</t>
  </si>
  <si>
    <t>IPPUJ C10.36.22.05.005</t>
  </si>
  <si>
    <t>Platibanda de estrutura metálica com telha de aluzinco trapezoidal TP-40 pintada na cor azul. Fornecimento e instalação completa.</t>
  </si>
  <si>
    <t>Telha sanduíche pré pintada 01 face, com enchimento em poliuretano de 35mm, largura de 1000mm e espessura de 0,5 mm, incluindo materiais de fixação e vedação completo.</t>
  </si>
  <si>
    <t>SINAPI 88491</t>
  </si>
  <si>
    <t>SINAPI 74065/001</t>
  </si>
  <si>
    <t>SINAPI 84665</t>
  </si>
  <si>
    <t>SINAPI 83635</t>
  </si>
  <si>
    <t>SINAPI 72554</t>
  </si>
  <si>
    <t>Extintor CO2 6kg com suporte de instalação.</t>
  </si>
  <si>
    <t>Extintor pó químico seco 6kg (PQS) com suporte de instalação.</t>
  </si>
  <si>
    <t>Placa indicativa preventiva de incêndio para extintor (13x20)cm, modelo conforme memorial preventivo.</t>
  </si>
  <si>
    <t>Placa indicativa preventiva para extintor "proibido colocar materiais" (20x20)cm, modelo conforme memorial preventivo.</t>
  </si>
  <si>
    <t>SINAPI 92396</t>
  </si>
  <si>
    <t>SINAPI 94275</t>
  </si>
  <si>
    <t>SINAPI 85180</t>
  </si>
  <si>
    <t>SINAPI 74072/002</t>
  </si>
  <si>
    <t>SINAPI 9537</t>
  </si>
  <si>
    <t>Terra adubada. Incluso transporte e espalhamento.</t>
  </si>
  <si>
    <t>DEINFRA 43838</t>
  </si>
  <si>
    <t xml:space="preserve"> </t>
  </si>
  <si>
    <t>SINAPI 85005</t>
  </si>
  <si>
    <t>IPPUJ C10.68.25.50.010</t>
  </si>
  <si>
    <t>IPPUJ C35.25.10.05.020</t>
  </si>
  <si>
    <t>Instalações sanitárias provisórias, inclusive instalação de fossa séptica e filtro anaeróbio provisório para sanitários.</t>
  </si>
  <si>
    <t>5.6</t>
  </si>
  <si>
    <t>Armação aço CA-50 (fornecimento, corte, dobra, montagem e colocação) diam. 6,3 à 16,0 mm.</t>
  </si>
  <si>
    <t>CA50</t>
  </si>
  <si>
    <t>CA60</t>
  </si>
  <si>
    <t>Forma para estruturas de concreto armado (pilar, vigas e lajes) em chapa de madeira compensada plastificada, de (1,10x2,20)m, espessura 18mm, 08 utilizações. Incluso fabricação, montagem e desmontagem - inclusive escoramento.</t>
  </si>
  <si>
    <t xml:space="preserve">Verga e contraverga (10x15)cm em concreto moldado in loco fck=20MPa (preparo com betoneira) aço CA-60, bitola fina, inclusos fôrmas de madeira e escoramento. </t>
  </si>
  <si>
    <t>IPPUJ I10.99.05.15.366</t>
  </si>
  <si>
    <t>8.17</t>
  </si>
  <si>
    <t>Tampo de granito cinza andorinha (120x85) cm altura final com alvenaria de 85 cm, espessura: 30 mm para bancada ao lado do fogão na cozinha, assentado com argamassa colante AC-II conforme projeto arquitetônico.</t>
  </si>
  <si>
    <t>Vidro temperado incolor (200X110) cm, espessura 8mm - J08, 02 unidades.</t>
  </si>
  <si>
    <t>7.26</t>
  </si>
  <si>
    <r>
      <t>Porta de correr em alumínio tipo veneziana, branca, (160x70)cm,peitoril de 10 cm, 2 folhas,</t>
    </r>
    <r>
      <rPr>
        <sz val="10"/>
        <color rgb="FFFF0000"/>
        <rFont val="Arial"/>
        <family val="2"/>
      </rPr>
      <t xml:space="preserve"> </t>
    </r>
    <r>
      <rPr>
        <sz val="10"/>
        <color theme="1"/>
        <rFont val="Arial"/>
        <family val="2"/>
      </rPr>
      <t>de correr, incluso perfis em alumínio e acessórios necessários para execução.  Verificar projeto arquitetônico na parte de esquadria o item P08 - bancadas de alvenaria na cozinha, 01 unidade.</t>
    </r>
  </si>
  <si>
    <t xml:space="preserve">Alvenaria de vedação com tijolos cerâmicos furados na horizontal 8 furos (11,5x19x19)cm. Resistência à compressão: 2,5 MPa. Incluso argamassa de assentamento - as 4 primeiras fiadas levam argamassa de assentamento com impermeabilizante. Incluso base da bancada para pias da cozinha e bancada de alvenaria ao lado do fogão industrial. </t>
  </si>
  <si>
    <t>Vidro temperado incolor, colocado, espessura de 10 mm, incluindo materiais de fixação para completa instalação em estrutura metálica galvanizada pré-pintada na cor branca, vedação e instalação completa para fechamento em vidro da sala de recreação conforme projeto arquitetônico. Incluso faixa indicativa.</t>
  </si>
  <si>
    <t>IPPUJ C10.76.30.20.008</t>
  </si>
  <si>
    <t>1.7</t>
  </si>
  <si>
    <t>Chapisco em paredes traço 1:3 (cimento e areia), pilares, vigas e alvenaria (edificação e bases da bancada da cozinha), preparo mecânico betoneira 400L.</t>
  </si>
  <si>
    <t>Peitoril em granito cinza andorinha com acabamento arredondado e rente à alvenaria para abertura entre as salas, com avanço de 05 cm para cada lado na alvenaria além do tamanho da esquadria da janela, largura de 15cm, assentado com argamassa traco 1:4 (cimento e areia média), preparo manual da argamassa.</t>
  </si>
  <si>
    <t>Soleira de granito cinza andorinha esp.: 2,0cm - larg.: 15cm, com avanço de 03 cm para cada lado na alvenaria além do tamanho da esquadria da porta, para as portas internas e muretas da rampa e escada de acessibilidade. Assentado sobre argamassa colante pré-fabricada.</t>
  </si>
  <si>
    <t>Soleira de granito cinza andorinha esp: 2,0cm - larg.: 20cm, com avanço de 03 cm para cada lado na alvenaria além do tamanho da esquadria da porta. Assentado sobre argamassa colante pré-fabricada.</t>
  </si>
  <si>
    <t>Peitoril em granito cinza andorinha com acabamento arredondado (espessura:20mm / largura: 230mm). Para todas as janelas externas da edificação, com avanço de 05 cm para cada lado na alvenaria além do tamanho da esquadria da janela.</t>
  </si>
  <si>
    <r>
      <t>Contrapiso em argamassa traço 1:4 (cimento e areia média), preparo mecânico com betoneira 400L, espessura 2cm e aditivo impermeabilizante com dosagem conforme especificação dos fabricantes (VEDACIT</t>
    </r>
    <r>
      <rPr>
        <sz val="10"/>
        <color theme="1"/>
        <rFont val="Calibri"/>
        <family val="2"/>
      </rPr>
      <t>®, SIKA 1® ou REBOTEC®)</t>
    </r>
    <r>
      <rPr>
        <sz val="10"/>
        <color theme="1"/>
        <rFont val="Arial"/>
        <family val="2"/>
      </rPr>
      <t>.</t>
    </r>
  </si>
  <si>
    <t>Sala de recreação</t>
  </si>
  <si>
    <t>Abrigo gás conforme projeto e norma vigente IN-008 (Instalações de gás combustível GLP e GN) do CBMSC, rede de distribuição, manômetro e válvulas, tubo de cobre incluso material, mão de obra, art de instalação e laudo de estanqueidade.</t>
  </si>
  <si>
    <t>Piso cerâmico padrão comercial branco (45x45) cm, antiderrapante, assentado sobre argamassa colante AC-II pré fabricada.</t>
  </si>
  <si>
    <t>Piso em manta vinílica semiflexível padrão liso, espessura 2mm, fixado com cola - incluso regularização de contrapiso com nata de cimento. Verificar cor no memorial descritivo.</t>
  </si>
  <si>
    <t>Pastilha cerâmica 10x10cm assentada com argamassa colante AC-III. Paredes externas, bancadas de alvenaria na cozinha, e despensa. Rejunte na cor branca.</t>
  </si>
  <si>
    <t>Revestimento cerâmico na cor branca (40x25)cm padrão médio para as paredes de banheiros,cozinha e lavanderia assentado sobre argamassa colante AC-III.</t>
  </si>
  <si>
    <t>Pastilha de porcelana na cor azul (2,5x2,5)cm - largura da faixa = 10cm. Faixa no meio da parede conforme projeto, instalada. Banheiros, cozinha e lavanderia.</t>
  </si>
  <si>
    <t>Rodapé cerâmico entre 7 e 8 cm de altura, antiderrapante, assentado sobre argamassa colante pré-fabricada (10% a mais para possíveis quebras ou reposição do material). Mesma cor do piso cerâmico.</t>
  </si>
  <si>
    <t>Rodapé vinílico,esp. de 10 a 20mm, mesma cor do piso vinílico, incluso cola específica e instalação. Salas de aula 01,02 e 03.</t>
  </si>
  <si>
    <t>8.18</t>
  </si>
  <si>
    <t>8.19</t>
  </si>
  <si>
    <t>Espelho cristal (80x50) cm (largura/altura), espessura 4 mm, com parafusos de fixação sem moldura, resistente a manchas e oxidação. Total de 06 unidades, um  para cada banheiro no educandário. Altura de instalação de 90 cm do piso acabado, com excessão do banheiro dos professores que será instalado na altura de 1,30 m.</t>
  </si>
  <si>
    <t>Tampo de granito em "L" cinza andorinha, largura de 70 cm, espessura de 30 mm para bancada em alvenaria na cozinha com abertura para cubas, assentado com argamassa colante AC-II. Saia/testeira de 05 cm e acabamentos arredondados com raio de 10 cm e roda-bancada de 10 cm.  Ver planta arquitetônica com as medidas do tampo.</t>
  </si>
  <si>
    <t>Instalação de suporte auxiliar em madeira para espelho com inclinação de 10º. Para instalação no banheiro de acessibilidade conforme NBR 9050.</t>
  </si>
  <si>
    <t>SINAPI 83737</t>
  </si>
  <si>
    <t>Caixa de passagem (60x60) cm internamente, H= variada. Paredes em tijolo maciço esp.10cm rebocada internamente e com tampa e fundo da caixa em concreto.</t>
  </si>
  <si>
    <t>Caixa de gordura (60x80) cm internamente, H= var. Paredes em tijolo maciço esp.10cm rebocada internamente e com tampa e fundo da caixa em concreto.</t>
  </si>
  <si>
    <t>Mini-bomba de bronze para circulação nas placas deaquecimento.</t>
  </si>
  <si>
    <t>Controlador eletrônico com funções de termostato e timer.</t>
  </si>
  <si>
    <t>Kit hidráulico para instalação entre caixa, reservatório e placas de aquecimento, composto por tubos de cobre, registros e conexões em aço inoxidável.</t>
  </si>
  <si>
    <t>Instalação de sistema de aquecimento de água por empresa especializada, com funcionários registrados com a Norma NBR 35, com emissão do certificado de garantia.</t>
  </si>
  <si>
    <t>Dispenser porta papel toalha em termoplástico de alta resistência, na cor branca, instalado e fixado sobre o revestimento cerâmico ou espelho com auxílio de parafuso e bucha nº. 08 junto aos lavatórios.</t>
  </si>
  <si>
    <t>Saboneteira plástica tipo dispenser de sabonete líquido em termoplástico de alta resistência, com alça móvel, base na cor branca e parafusos, instalados e fixados sobre o revestimento cerâmico ou espelho com auxílio de parafuso e bucha nº. 08.Capacidade de 800ml. Dimensões:  (210mmx110mmx100mm), junto aos lavatórios.</t>
  </si>
  <si>
    <t>Porta papel higiênico em aço inox de alta resistência, com capa de proteção, instalado e fixado sobre o revestimento cerâmico com auxílio de parafuso e bucha nº. 08, junto aos vasos sanitários. Verificar memorial descritivo.</t>
  </si>
  <si>
    <t>15.10</t>
  </si>
  <si>
    <t>Grade de ventilação quadrada (200 x 200) mm para paredes do abrigo do gás e cozinha para ventilação natural e permanente. Material: ABS (branco) com aditivo anti-UV. Conferir local de instalação em projeto.</t>
  </si>
  <si>
    <t>Torneira de bancada para cozinha, cromada com bica móvel e ducha retrátil 40cm para cozinha, ligação com cabo flexível de malha de aço, água quente e fria, monocomando - ver memorial.</t>
  </si>
  <si>
    <t>Ducha monocomando quente e frio cromada  para uso em lavatório de bebês, com ciclo de fechamento automático, arejador, válvula de acionamento, funcionamento em alta e baixa pressão, regulagem de vazão por meio de comando na extremidade, acabamento cromado com extensão mínima de 1,30m.</t>
  </si>
  <si>
    <t>Torneira de parede longa para lavatório externo - ver memorial. Material: metal com acabamento cromado, bitola: 1/2", tipo bica. Utilizar o modelo: WJ-2015-225A ou similar com o mesmo modelo e medidas.</t>
  </si>
  <si>
    <t>Torneira cromada com bico para jardim/tanque 3/4" - ver  modelo no memorial.</t>
  </si>
  <si>
    <t>Cuba de aço inox lavatório de bebês (75x40x20)cm - ver memorial. Incluso instalação completa em bancada de granito.</t>
  </si>
  <si>
    <t>Vaso sanitário com caixa acoplada, botão com duplo acionamento, banheiro de acessibilidade, sem abertura frontal, com acessórios, inclusive assento plástico - fornecimento e instalação.</t>
  </si>
  <si>
    <t>Barra de apoio em aço inox escovado para cadeirante no vaso sanitário conforme memorial descritivo e norma de acessibilidade, NBR 9050.</t>
  </si>
  <si>
    <t>Barra de apoio em aço inox escovado para cadeirante na pia, conforme memorial descritivo e norma de acessibilidade, NBR 9050.</t>
  </si>
  <si>
    <t>Coifa para fogão 6 bocas em chapa de aço inox, tamanho (1,50x1,00)m, incluso materiais e instalação completa. Deixar furo para instalação e ponto elétrico do exaustor.</t>
  </si>
  <si>
    <t>Lavatório coletivo em aço inoxidável (385x60)cm.  Incluso sifão metálico cromado e válvula de escoamento metálica e instalação completa. Conferir modelo no memorial descritivo.</t>
  </si>
  <si>
    <t>Boca de lobo , 80 x 60cm internamente, altura variada. Paredes em tijolo maciço esp.10cm  rebocada internamente, com grelha de ferro fundido. Fundo  e tampa de concreto.</t>
  </si>
  <si>
    <t>Boca de lobo dupla , 160 x 60cm internamente, altura variada. Paredes em tijolo maciço esp.10cm  rebocada internamente, com grelha de ferro fundido. Fundo  e tampa de concreto.</t>
  </si>
  <si>
    <t>Tubo de concreto ø200 mm para drenagem, incluso escavação, colocação e compactação.</t>
  </si>
  <si>
    <t>Tubo de concreto ø300mm para drenagem, incluso escavação, colocação e compactação.</t>
  </si>
  <si>
    <t>Calha em alumínio, largura da chapa 70cm, espessura 0,7mm. Colocada.</t>
  </si>
  <si>
    <t>Calha em concreto tipo meia cana ø 300mm com alargamento no final - conferir projeto.</t>
  </si>
  <si>
    <t>12.11</t>
  </si>
  <si>
    <t>SINAPI 91864</t>
  </si>
  <si>
    <t>Eletroduto de pvc rígido roscável 1", fornecimento e instalação.</t>
  </si>
  <si>
    <t>Caixa de passagem pvc (4x2)" de embutir.</t>
  </si>
  <si>
    <t>Tomada telefone 04 pólos, padrão telebras.</t>
  </si>
  <si>
    <t>Fio telefônico 0,6 mm, 02 condutores, uso interno, fornecimento e instalação.</t>
  </si>
  <si>
    <t>Fio telefônico 1,0 mm, 02 condutores, uso interno, fornecimento e instalação.</t>
  </si>
  <si>
    <t>Disjuntor residual trifásico 63A padrão din.</t>
  </si>
  <si>
    <t>Estrutura metálica fixado com solda para cobertura em treliçadas com vão de 7,00m em aço pintado com tinta epoxi com espaçamento, perfis metálicos em U de chapa dobrada, H = 90mm, L = 40mm e espessura = 3mm, densidade = 3,73kg/m - longarinas - com espaçamento de 1 metro para apoio de telha em aluzinco. Incluso fornecimento e instalação das tesouras e dos perfis, com todos os acessórios necessários para total fixação das longarinas na treliça e da telha nas longarinas - ver projeto arquitetônico.</t>
  </si>
  <si>
    <t>Estrutura metálica fixada com solda para cobertura em treliça com vão de 4,50m em aço pintado com tinta epoxi com espaçamento, perfis metálicos em U de chapa dobrada, H=90mm, L=40mm e espessura=3mm, densidade=3,73kg/m - longarinas - com espaçamento de 1 metro para apoio de telha em aluzinco. Incluso fornecimento e instalação das tesouras e dos perfis, com todos os acessórios necessários para total fixação  das longarinas na treliça e da telha nas longarinas - ver projeto arquitetônico.</t>
  </si>
  <si>
    <t>Pintura com tinta látex pva, acabamento acetinado, 2 demãos, para paredes internas e teto (coral, suvinil ou sherwin williams).</t>
  </si>
  <si>
    <t>Pavimentação com lajotas de concreto tipo paver (cor natural) tamanho (20x10x6)cm, com colchão de pó de pedra de espessura 10cm e compactação com rolo ou placa vibratória. Incluso calçadas lado externo.</t>
  </si>
  <si>
    <t>Pavimentação em blocos de concreto (paver 35mpa - piso podotátil direcional, cor vermelha) (25x25x6)cm e assentados sobre colchão de pó de pedra 10 cm de espessura compactado -  considerando 5% de empolamento.  Incluso calçadas lado externo.</t>
  </si>
  <si>
    <t>Pavimentação em blocos de concreto (paver 35 mpa - piso podotátil alerta, cor vermelha) (25x25x6)cm e assentados sobre colchão de pó de pedra - espessura 10cm - compactado (considerar 5% de empolamento). Incluso na rampa de acesso para acessibilidade conforme projeto.</t>
  </si>
  <si>
    <t>Pavimentação em blocos de concreto (paver 35 mpa - piso podotátil alerta para início e fim de rampas, cor vermelha) (125x25)cm e espessura de 6cm, assentados sobre colchão de pó de pedra - espessura 10cm - compactado (considerar 5% de empolamento).</t>
  </si>
  <si>
    <t>12.40</t>
  </si>
  <si>
    <t>Piso podotátil alerta em pvc (25x25)cm - para sobreposição em piso cerâmico, incluso material para colagem e mão de obra.</t>
  </si>
  <si>
    <t>Parque infantil com escorregador, balanços, tubos, tobogã e 03 torres - ver memorial descritivo.</t>
  </si>
  <si>
    <t>Portão de abrir de gradil na cor verde (1,20x2,30)m em aço galvanizado 01 folha com malha (5x20)cm retangular conforme padrão e especificações técnicas da cerca no projeto e memorial descritivo.</t>
  </si>
  <si>
    <t>Kit de fechadura  de embutir para portão de acesso ao campo de futebol, incluso instalação e mão de obra.</t>
  </si>
  <si>
    <t>Abrigo de lixo, em alvenaria, com base e laje de concreto armado com impermeabilizante, rebocado, pintado externamente , cerâmica interna no piso, e revestimento das paredes em pastilha cerâmica, portas de alumínio conforme projeto, materiais e mão de obra inclusos. Conferir medidas em projeto.</t>
  </si>
  <si>
    <t>Pó de brita, espessura 12 cm. Incluso transporte e espalhamento.</t>
  </si>
  <si>
    <t>Lona plástica preta, colocação sob perímetro onde será colocado o pó de brita.</t>
  </si>
  <si>
    <t>IPPUJ C10.84.15.05.031</t>
  </si>
  <si>
    <t>Bancos em madeira plástica com encosto, cor de madeira itaúba, jatobá ou marfim - 2m de largura e 78 cm de altura, sendo 50cm de altura do chão até base do assento dos bancos. Conferir memorial descritivo.</t>
  </si>
  <si>
    <t>Rede para traves de futebol com fios de 03 mm. Malha de polietileno - polipropileno (12x12) cm. Instalado nas traves.</t>
  </si>
  <si>
    <t>Readequação de terreno para execução de radier para a rampa e escada de acesso ao cdi com utilização de compactador manual.</t>
  </si>
  <si>
    <t>EDMUNDO DE JESUS ARAÚJO JÚNIOR</t>
  </si>
  <si>
    <t>CREA/SC 053875-8</t>
  </si>
  <si>
    <t>Porta de correr em alumínio tipo veneziana, branca, (100x70) cm,02 folhas, de correr, incluso perfis em alumínio e acessórios necessários para execução da instalação. Verificar projeto arquitetônico na parte de esquadrias o item P11 - bancada de alvenaria na cozinha ao lado do fogão, 01 unidade.</t>
  </si>
  <si>
    <t>Tubo, PPR,  ø25mm, instalado em ramal de distribuição, prumadas, ramal e sub-ramal de água quente, fornecimento e instalação - água quente.</t>
  </si>
  <si>
    <t>Rufo em aluminío,  largura da chapa 40cm, espessura 0,7mm. Colocada.</t>
  </si>
  <si>
    <t>Forro pvc (20x600)cm - espessura 10mm liso branco - incluso estrutura de madeira para fixação.</t>
  </si>
  <si>
    <t>Barracão de obra para escritório, piso em pinho, paredes em compensado 10mm, pintado de branco, cobertura em telha fibrocimento 6mm, incluso aberturas  e intalações elétricas (baixa tensão, chave de 100A e carga 3kWh) e sanitários.</t>
  </si>
  <si>
    <t>Módulo de absorção solar com tubos a vácuo de baixa pressão, capacidade igual ou superior a 700 *kW/h/m, resistente a granizo e variações de temperaturas extremas – Padrão Europeu. 20 tubos a vácuo de baixa pressão, comprimento 1,80m.</t>
  </si>
  <si>
    <t>Divisórias em granito, espessura 30 mm, chumbamento em piso e paredes com argamassa AC-II, incluso acessórios de fixação. Conferir memorial descritivo e detalhamento em projeto.</t>
  </si>
  <si>
    <t>Torneira cromada para uso público, funcionamento em alta e baixa pressão, cartucho com pastilha cerâmica de alto desempenho com ¼ de volta, maior facilidade e precisão na regulagem da vazão, com acionamento leve e vedação perfeita, acabamento cromado (Ref. Torneira para lavatório de mesa lift. Código 00871906). Incluindo instalação completa e materiais para funcionamento - ver memorial descritivo.</t>
  </si>
  <si>
    <t>Bebedouro inox elétrico de pressão conjugado capacidade 80 L, com instalação completa.</t>
  </si>
  <si>
    <t>Caixa de passagem/areia (pluvial) (60 x 80) cm internamente, altura variada. Paredes em tijolo maciço espessura 10 cm  rebocada internamente. Fundo  e tampa de concreto.</t>
  </si>
  <si>
    <t>Instalação de rede de lógica, incluso kit de materiais,patch,switch,tomadas RJ45,rack,guias,calhas,canaletas, rede de wifi, roteador, tomada lógica, cabos de rede, quadro de distribuição para internet (20x20x12)cm em chapa metálica de embutir e demais acessórios e materiais. Também material necessário para a instalação da rede telefônica completa com uma central na direção/recepção e um ramal para sala dos professores,inclusive: fornecimento e serviço de implantação/instalação completa.</t>
  </si>
  <si>
    <t>Poste telecônico reto galvanizado a fogo, engastado com capacidade para 4 lâmpadas vapor metálico 250W (4 luminárias)  (altura: 4,00m), (incluso: 1 lâmpada tubular vapor metálico 250W, reatores, instalação e todos os itens necessários para execução do serviço (fiação e demais acessórios).</t>
  </si>
  <si>
    <t>Mesa com tampo em forma de octágono de M.D.F. branco, com fita de borda colorida. Pés e base de sustentação da mesa coloridos, pintados com tinta esmalte sintético atóxico. 08 cadeiras coloridas com estrutura de ferro branco, acento e encosto em M.D.F. pintado com tinta ultravioleta atóxica.  - ver foto no memorial descritivo.</t>
  </si>
  <si>
    <t>Bloco autônomo de iluminação PL9W.</t>
  </si>
  <si>
    <t>Placa de saída 12/24VCC simples face, sinalização luminosa sem seta.</t>
  </si>
  <si>
    <t>Placa de saída 12/24VCC dupla face, sinalização luminosa com seta.</t>
  </si>
  <si>
    <t>Bloco autônomo de luz de emergência com duas lâmpadas halógenas 55W, bateria 12V 45A.</t>
  </si>
  <si>
    <t>Estrutura metálica fixada com parafusos, para cobertura em treliça de vão 6,00 metros em aço pintado com tinta epoxi com espaçamento de, perfis metálicos em U de chapa dobrada, H=90mm, l=40mm e espessura=3mm, densidade=3,73kg/m - longarinas - com espaçamento de 1 metro para apoio de telha em aluzinco. Incluso fornecimento e instalação das tesouras e dos perfis, com todos os acessórios necessários para total fixação  das longarinas na treliça e da telha nas longarinas - ver projeto arquitetônico.</t>
  </si>
  <si>
    <t>Instalação de climatização (7.000BTU's a 36.000 BTU's),incluso kit de materiais [tubos de cobre flexível de 1/4" a 1/2", isolamento térmico, cabo pp com (4x1,5)mm, flanges, porcas; drenos e demais acessórios,exceto aparelhos de ar condicionado - fornecimento e implantação (sala de recreação/refeitório, 3 salas de aula, recepção-direção, biblioteca e sala dos professores).</t>
  </si>
  <si>
    <t>Fio de cobre isolado pvc resistente a chama 450/750V - 25,0 mm² fornecimento e instalacão.</t>
  </si>
  <si>
    <t>Fio de cobre isolado pvc resistente a chama 450/750V - 16,0mm² fornecimento e instalacão.</t>
  </si>
  <si>
    <t>Fio de cobre flexível isolado pvc resistente à chama 450/750V - 6,0 mm² fornecimento e instalacão.</t>
  </si>
  <si>
    <t>Fio de cobre flexível isolado pvc resistente à chama 450/750V - 2,5 mm² fornecimento e instalacão.</t>
  </si>
  <si>
    <t>Tomada monofásica 2P+T com placa.</t>
  </si>
  <si>
    <t>Interruptor simples 02 teclas/função 10A/250V com placa.</t>
  </si>
  <si>
    <t>Interruptor simples 01 tecla/função 10A/250V com placa.</t>
  </si>
  <si>
    <t>5.7</t>
  </si>
  <si>
    <t>PILARES</t>
  </si>
  <si>
    <t>20X25</t>
  </si>
  <si>
    <t>20X20</t>
  </si>
  <si>
    <t>15X30</t>
  </si>
  <si>
    <t>15X25</t>
  </si>
  <si>
    <t>20X40</t>
  </si>
  <si>
    <t>P1,P11,P18,P19,P33</t>
  </si>
  <si>
    <t>P2,P4,P5,P12,P15,P17</t>
  </si>
  <si>
    <t>P6,P7,P8,P13,P24,P25,P26,P27</t>
  </si>
  <si>
    <t>P9,P10</t>
  </si>
  <si>
    <t>P14,P32</t>
  </si>
  <si>
    <t>20X30</t>
  </si>
  <si>
    <t>SEÇÃO</t>
  </si>
  <si>
    <t>M³ DE CONCRETO</t>
  </si>
  <si>
    <t xml:space="preserve">ADIÇÃO DE CONCRETO </t>
  </si>
  <si>
    <t>Adesivo para identificação do CDI na fachada de vidro (0,15x33,65)m, altura de 1m do piso acabado. Incluso instalação. Conferir arte do adesivo com a fiscalização.</t>
  </si>
  <si>
    <t>AÇO</t>
  </si>
  <si>
    <t>1.8</t>
  </si>
  <si>
    <t>FORMAS M²</t>
  </si>
  <si>
    <t>Readequação dos pilares arquitetônicos, tendo altura em projeto de 300 cm e por mudança do pé direito da edificação os pilares terão 326 cm, sendo assim um acréscimo de 26 cm de formas, aço e concreto para compensação de projeto.</t>
  </si>
  <si>
    <t>LONGITUDINAL (kg)</t>
  </si>
  <si>
    <t>TRANSVERSAL (kg)</t>
  </si>
  <si>
    <t>COMP 05</t>
  </si>
  <si>
    <t xml:space="preserve">IPPUJ </t>
  </si>
  <si>
    <t>C10.28.10.10.005</t>
  </si>
  <si>
    <t xml:space="preserve"> SINAPI</t>
  </si>
  <si>
    <t>C10.28.15.10.059</t>
  </si>
  <si>
    <t>DEINFRA           47991</t>
  </si>
  <si>
    <t xml:space="preserve">Pilares em concreto armado fck = 25 MPa, incluso concreto usinado, armações de aço CA-50, formas de madeira, escoramentos e demais serviços, (complementação da altura do pé direito no projeto arquitetônico em relação ao projeto estrutural). Sendo totalizado 24 unidades de pilares conforme projeto estrutural, verificar memorial descritivo. </t>
  </si>
  <si>
    <t>mês</t>
  </si>
  <si>
    <t>Destinação de entulhos de obra (caçamba coletora) recolhidos por empresa especializada.</t>
  </si>
  <si>
    <t>Porta de abrir, vai e vem, temperado incolor, esp.: 10 mm, com faixa de identificação vai e vem, com todos os materiais necessários para instalação e pronto para uso como: fechaduras, dobradiças, maçanetas e outros itens específicos para uso seguro da porta. (Conferir medidas das portas em projeto arquitetônico no item de esquadrias) - P10 (200x210)cm, 02 unidades.</t>
  </si>
  <si>
    <t>Fechadura de embutir completa, para portas de correr, padrão de acabamento popular.</t>
  </si>
  <si>
    <t>Fechadura de embutir completa, para portas de banheiro com tranqueta, padrão de acabamento popular.</t>
  </si>
  <si>
    <t xml:space="preserve"> Obs: Valores em Reais.</t>
  </si>
  <si>
    <t>VALOR ACUMULADO</t>
  </si>
  <si>
    <t>VALOR PARCIAL</t>
  </si>
  <si>
    <t>16.</t>
  </si>
  <si>
    <t>Pintura</t>
  </si>
  <si>
    <t>Movimentação de Terra</t>
  </si>
  <si>
    <t>Serviços Preliminares</t>
  </si>
  <si>
    <t>MÊS 10</t>
  </si>
  <si>
    <t>MÊS 09</t>
  </si>
  <si>
    <t>MÊS 08</t>
  </si>
  <si>
    <t>MÊS 07</t>
  </si>
  <si>
    <t>MÊS 06</t>
  </si>
  <si>
    <t>MÊS 05</t>
  </si>
  <si>
    <t>MÊS 04</t>
  </si>
  <si>
    <t>MÊS 03</t>
  </si>
  <si>
    <t xml:space="preserve">MÊS 02 </t>
  </si>
  <si>
    <t xml:space="preserve">MÊS 01 </t>
  </si>
  <si>
    <t xml:space="preserve">      CRONOGRAMA DE EXECUÇÃO</t>
  </si>
  <si>
    <t>PESO</t>
  </si>
  <si>
    <t xml:space="preserve">VALOR </t>
  </si>
  <si>
    <t xml:space="preserve">DESCRIMINAÇÃO </t>
  </si>
  <si>
    <t>CRONOGRAMA FÍSICO  -  FINANCEIRO</t>
  </si>
  <si>
    <t xml:space="preserve">                             CRONOGRAMA FÍSICO  -  FINANCEIRO</t>
  </si>
  <si>
    <t>Bairro: Coloninha - Gaspar - SC</t>
  </si>
  <si>
    <t>LOCAL: Rua Jacob Muller, S/N,</t>
  </si>
  <si>
    <t>OBRA : CONSTRUÇÃO - CDI COLONINHA</t>
  </si>
  <si>
    <t xml:space="preserve">             </t>
  </si>
  <si>
    <t xml:space="preserve">        Secretaria Municipal de Educação - SEMED</t>
  </si>
  <si>
    <t xml:space="preserve">        PREFEITURA MUNICIPAL DE GASPAR</t>
  </si>
  <si>
    <t>Terraplenagem</t>
  </si>
  <si>
    <t>Fundação</t>
  </si>
  <si>
    <t>Estrutura de Concreto</t>
  </si>
  <si>
    <t>Alvenaria</t>
  </si>
  <si>
    <t>Esquadrias</t>
  </si>
  <si>
    <t>Revestimento</t>
  </si>
  <si>
    <t>Impermeabilização</t>
  </si>
  <si>
    <t>Hidrossanitário</t>
  </si>
  <si>
    <t>Elétrica</t>
  </si>
  <si>
    <t>Preventivo</t>
  </si>
  <si>
    <t>Urbanismo</t>
  </si>
  <si>
    <t>As Built</t>
  </si>
  <si>
    <t>Limpeza final de Obra</t>
  </si>
  <si>
    <t xml:space="preserve"> Prazo de Execução: 300 dias</t>
  </si>
  <si>
    <t>Cerca tipo gradil em aço galvanizado na cor verde, altura de 2,30 m com perfis metálicos (40x60)mm chumbados em viga baldrame, com cantoneira de detalhamento conforme projeto, painéis de largura 2,50 m, malha retangular (5x20)cm, instalada. Incluso cápsula de aço galvanizado para acabamento na extremidade superior do tubo de aço. Exclusive viga. Conforme memorial descritivo.</t>
  </si>
  <si>
    <t>Gaspar,27 de junho de 2018.</t>
  </si>
  <si>
    <t>Impermeabilização com tinta betuminosa em fundações, baldrames e lajes do teto. Três demãos. NEUTROL®, IGUAÇU® ,PROTEX®.</t>
  </si>
  <si>
    <t>Impermeabilização com manta asfáltica, espessura 03 mm, para colocação entre as vigas baldrames,alvenarias e banheiro de acessibilidade onde terá o chuveiro, com avanço de 02 cm para cada lado das vigas. Conferir detalhamento em projeto. VIAPOL®,DENVER®, VEDAMAX®.</t>
  </si>
  <si>
    <t>2.3</t>
  </si>
  <si>
    <t xml:space="preserve">     PREFEITURA MUNICIPAL DE GASPAR</t>
  </si>
  <si>
    <t xml:space="preserve">      Secretaria Municipal de Educação</t>
  </si>
  <si>
    <t xml:space="preserve">      OBRA: Construção do CDI Coloninha</t>
  </si>
  <si>
    <t xml:space="preserve">      Endereço: Rua Jacob Muller, S/N; Bairro: Coloninha</t>
  </si>
  <si>
    <t>Pintura com tinta acrílica fosca premium elástica, amarelo, 3 demãos, para paredes externas (coral, suvinil ou sherwin williams). - ver prancha A09 - 3D.</t>
  </si>
  <si>
    <t>Pintura com tinta acrílica fosca premium elástica, azul, 3 demãos, para paredes externas (coral, suvinil ou sherwin williams). - ver prancha A09 - 3D.</t>
  </si>
  <si>
    <t>Pintura de identificação do cdi na fachada frontal na cor azul - ver prancha A04.</t>
  </si>
  <si>
    <t>16.28</t>
  </si>
  <si>
    <t>IPPUJ C10.84.45.20.015</t>
  </si>
  <si>
    <t>IPPUJ C10.84.45.20.005</t>
  </si>
  <si>
    <t>Lixeira tipo strasse padrão 0,45x0,45x1,00 m, corpo e cesto em aço galvanizado, acabamentos em alumínio fundido e madeira nobre tratada</t>
  </si>
  <si>
    <t>Lixeira para coleta seletiva seis cores com identificação de material para: papel, vidro, plástico, orgânico, metal e reciclável - separação -, colocada, incluso pedestal confecionado em ferro Ø 2", pintura epoxi - ver foto memorial.</t>
  </si>
  <si>
    <r>
      <t xml:space="preserve">Portão de abrir de gradil em aço galvanizado na cor verde (3,40x2,30)m 02 folhas, painel de 2,50m com malha retangular (5x20)cm - ver projeto e memorial descritivo - conforme padrão e especificações técnicas da cerca. utilizar 03 dobradiças reforçadas (ou mais, caso necessário) nas extremidades laterais do portão para melhor sustentação deste. </t>
    </r>
    <r>
      <rPr>
        <sz val="10"/>
        <rFont val="Arial"/>
        <family val="2"/>
      </rPr>
      <t>Incluso pilar com base em concreto com fundação adequada.</t>
    </r>
  </si>
  <si>
    <t>16.29</t>
  </si>
  <si>
    <t>SINAPI 89201</t>
  </si>
  <si>
    <t>4.2</t>
  </si>
  <si>
    <t>IPPUJ C25.50.15.05.005</t>
  </si>
  <si>
    <t>IPPUJ C10.24.15.20.005</t>
  </si>
  <si>
    <t>Tapume de obra com fechamento em telha de aço zincada, cor natural, e madeiras de lei (cambará ou similar) para estrutura de suporte, com reaproveitamento 3x. Localização do tapume: distância de aproximadamente 1,5 metros da construção, podendo ser mobilizado para outros pontos da obra caso necessário.</t>
  </si>
  <si>
    <t>Mobilização e desmobilização de equipamento bate-estacas.</t>
  </si>
  <si>
    <t>4.3</t>
  </si>
  <si>
    <t>Limpeza manual do terreno (com raspagem superficial da vegetação rasteira, capina).</t>
  </si>
  <si>
    <t>IPPUJ C10.48.05.15.007</t>
  </si>
  <si>
    <t>IPPUJ C10.48.05.10.015</t>
  </si>
  <si>
    <r>
      <t xml:space="preserve">Disjuntor tripolar tipo din, corrente nominal de </t>
    </r>
    <r>
      <rPr>
        <sz val="10"/>
        <rFont val="Arial"/>
        <family val="2"/>
      </rPr>
      <t xml:space="preserve">100A </t>
    </r>
    <r>
      <rPr>
        <sz val="10"/>
        <color theme="1"/>
        <rFont val="Arial"/>
        <family val="2"/>
      </rPr>
      <t xml:space="preserve"> - fornecimento e instalação.</t>
    </r>
  </si>
  <si>
    <t>Emboço traço 1:4 (cimento e areia média), incluso aditivo impermeabilizante, espessura 2cm, preparo manual da argamassa. Obs.: a camada de emboço será aplicada sobre o chapisco.</t>
  </si>
  <si>
    <t xml:space="preserve">Reboco desempenado p/ parede, traço: 1:2:8, cimento, cal e areia - esp.: de 5 a 20mm. Obs.: A camada de reboco será aplicada sobre o emboço. </t>
  </si>
  <si>
    <t>Selador acrílico para aplicação antes da pintura, duas demãos.</t>
  </si>
  <si>
    <t>DEINFRA 42802</t>
  </si>
  <si>
    <t>Regularização, espalhamento e compactação de aterro em terreno com máquinas mecanizadas (trator esteira e rolo compactador), conformidade do greide e nivelamento do terreno com caimentos conforme demonstrado no projeto de drenagem.</t>
  </si>
  <si>
    <t>Estaca pré-moldada de concreto armado, seção quadrada, capacidade de 25 toneladas, comprimento total cravado acima de 5m até 12m, bate-estacas por gravidade sobre rolos, incluso as luvas metálicas para emenda das estacas (exclusive mobilização e desmobilização). Locais para locação das estacas: construção e cerca de gradil. Ficará a cargo do engenheiro executor conferir o prumo após a estaca atingir cerca de 3 m de profundidade.</t>
  </si>
  <si>
    <t>Arrasamento de estacas pré-moldadas, com corte e preparo de cabeça das estacas. As cabeças das estacas devem ficar niveladas, planas e com armadura de arranque suficiente para ancoragem no bloco</t>
  </si>
</sst>
</file>

<file path=xl/styles.xml><?xml version="1.0" encoding="utf-8"?>
<styleSheet xmlns="http://schemas.openxmlformats.org/spreadsheetml/2006/main">
  <numFmts count="8">
    <numFmt numFmtId="44" formatCode="_-&quot;R$&quot;* #,##0.00_-;\-&quot;R$&quot;* #,##0.00_-;_-&quot;R$&quot;* &quot;-&quot;??_-;_-@_-"/>
    <numFmt numFmtId="43" formatCode="_-* #,##0.00_-;\-* #,##0.00_-;_-* &quot;-&quot;??_-;_-@_-"/>
    <numFmt numFmtId="164" formatCode="#,##0.00\ ;\-#,##0.00\ ;&quot; -&quot;#\ ;@\ "/>
    <numFmt numFmtId="165" formatCode="_(* #,##0.00_);_(* \(#,##0.00\);_(* &quot;-&quot;??_);_(@_)"/>
    <numFmt numFmtId="166" formatCode="0.000"/>
    <numFmt numFmtId="167" formatCode="0.0"/>
    <numFmt numFmtId="168" formatCode="[$-F800]dddd\,\ mmmm\ dd\,\ yyyy"/>
    <numFmt numFmtId="169" formatCode="[$-F400]h:mm:ss\ AM/PM"/>
  </numFmts>
  <fonts count="63">
    <font>
      <sz val="11"/>
      <color theme="1"/>
      <name val="Calibri"/>
      <family val="2"/>
      <scheme val="minor"/>
    </font>
    <font>
      <sz val="11"/>
      <color theme="1"/>
      <name val="Calibri"/>
      <family val="2"/>
      <scheme val="minor"/>
    </font>
    <font>
      <sz val="11"/>
      <color rgb="FF006100"/>
      <name val="Calibri"/>
      <family val="2"/>
      <scheme val="minor"/>
    </font>
    <font>
      <b/>
      <sz val="14"/>
      <name val="Arial"/>
      <family val="2"/>
    </font>
    <font>
      <b/>
      <sz val="12"/>
      <name val="Arial"/>
      <family val="2"/>
    </font>
    <font>
      <b/>
      <sz val="11"/>
      <name val="Arial"/>
      <family val="2"/>
    </font>
    <font>
      <sz val="11"/>
      <color indexed="8"/>
      <name val="Calibri"/>
      <family val="2"/>
    </font>
    <font>
      <sz val="11"/>
      <color rgb="FFFF0000"/>
      <name val="Arial"/>
      <family val="2"/>
    </font>
    <font>
      <b/>
      <sz val="9"/>
      <name val="Arial"/>
      <family val="2"/>
    </font>
    <font>
      <sz val="10"/>
      <name val="Arial"/>
      <family val="2"/>
    </font>
    <font>
      <b/>
      <sz val="8"/>
      <name val="Arial"/>
      <family val="2"/>
    </font>
    <font>
      <b/>
      <sz val="10"/>
      <name val="Arial"/>
      <family val="2"/>
    </font>
    <font>
      <sz val="10"/>
      <color indexed="8"/>
      <name val="Arial"/>
      <family val="2"/>
    </font>
    <font>
      <sz val="11"/>
      <color indexed="8"/>
      <name val="Arial"/>
      <family val="2"/>
    </font>
    <font>
      <sz val="10"/>
      <color rgb="FFFF0000"/>
      <name val="Arial"/>
      <family val="2"/>
    </font>
    <font>
      <b/>
      <sz val="10"/>
      <color rgb="FFFF0000"/>
      <name val="Arial"/>
      <family val="2"/>
    </font>
    <font>
      <sz val="11"/>
      <color rgb="FFFF0000"/>
      <name val="Calibri"/>
      <family val="2"/>
      <scheme val="minor"/>
    </font>
    <font>
      <sz val="11"/>
      <name val="Calibri"/>
      <family val="2"/>
      <scheme val="minor"/>
    </font>
    <font>
      <b/>
      <sz val="11"/>
      <color theme="1"/>
      <name val="Calibri"/>
      <family val="2"/>
      <scheme val="minor"/>
    </font>
    <font>
      <b/>
      <sz val="11"/>
      <name val="Calibri"/>
      <family val="2"/>
      <scheme val="minor"/>
    </font>
    <font>
      <b/>
      <sz val="11"/>
      <color rgb="FF002060"/>
      <name val="Calibri"/>
      <family val="2"/>
      <scheme val="minor"/>
    </font>
    <font>
      <sz val="11"/>
      <color rgb="FF002060"/>
      <name val="Calibri"/>
      <family val="2"/>
      <scheme val="minor"/>
    </font>
    <font>
      <u/>
      <sz val="11"/>
      <color theme="1"/>
      <name val="Calibri"/>
      <family val="2"/>
      <scheme val="minor"/>
    </font>
    <font>
      <b/>
      <sz val="12"/>
      <name val="Calibri"/>
      <family val="2"/>
      <scheme val="minor"/>
    </font>
    <font>
      <sz val="9"/>
      <color indexed="81"/>
      <name val="Tahoma"/>
      <family val="2"/>
    </font>
    <font>
      <b/>
      <sz val="9"/>
      <color indexed="81"/>
      <name val="Tahoma"/>
      <family val="2"/>
    </font>
    <font>
      <sz val="10"/>
      <color theme="1"/>
      <name val="Arial"/>
      <family val="2"/>
    </font>
    <font>
      <b/>
      <sz val="12"/>
      <color rgb="FF222222"/>
      <name val="Arial"/>
      <family val="2"/>
    </font>
    <font>
      <b/>
      <sz val="14"/>
      <color theme="1"/>
      <name val="Calibri"/>
      <family val="2"/>
      <scheme val="minor"/>
    </font>
    <font>
      <b/>
      <sz val="12"/>
      <color rgb="FFFF0000"/>
      <name val="Calibri"/>
      <family val="2"/>
    </font>
    <font>
      <b/>
      <sz val="10"/>
      <color theme="1"/>
      <name val="Arial"/>
      <family val="2"/>
    </font>
    <font>
      <b/>
      <sz val="16"/>
      <color rgb="FFFF0000"/>
      <name val="Calibri"/>
      <family val="2"/>
    </font>
    <font>
      <b/>
      <sz val="14"/>
      <name val="Calibri"/>
      <family val="2"/>
      <scheme val="minor"/>
    </font>
    <font>
      <sz val="8"/>
      <color indexed="81"/>
      <name val="Tahoma"/>
      <family val="2"/>
    </font>
    <font>
      <b/>
      <sz val="8"/>
      <color indexed="81"/>
      <name val="Tahoma"/>
      <family val="2"/>
    </font>
    <font>
      <sz val="11.5"/>
      <name val="Arial Narrow"/>
      <family val="2"/>
    </font>
    <font>
      <sz val="11"/>
      <color rgb="FF000000"/>
      <name val="Calibri"/>
      <family val="2"/>
    </font>
    <font>
      <sz val="8"/>
      <color indexed="8"/>
      <name val="Courier"/>
      <family val="3"/>
    </font>
    <font>
      <sz val="9"/>
      <color indexed="8"/>
      <name val="Arial"/>
      <family val="2"/>
    </font>
    <font>
      <sz val="9"/>
      <color theme="1"/>
      <name val="Arial"/>
      <family val="2"/>
    </font>
    <font>
      <sz val="10"/>
      <color rgb="FF000000"/>
      <name val="Arial"/>
      <family val="2"/>
    </font>
    <font>
      <sz val="10"/>
      <color theme="1"/>
      <name val="Calibri"/>
      <family val="2"/>
    </font>
    <font>
      <sz val="8"/>
      <name val="Arial"/>
      <family val="2"/>
    </font>
    <font>
      <sz val="11"/>
      <name val="Arial Narrow"/>
      <family val="2"/>
    </font>
    <font>
      <b/>
      <sz val="12"/>
      <name val="Arial Narrow"/>
      <family val="2"/>
    </font>
    <font>
      <sz val="13"/>
      <name val="Univers Condensed"/>
      <family val="2"/>
    </font>
    <font>
      <b/>
      <sz val="14"/>
      <name val="Univers Condensed"/>
      <family val="2"/>
    </font>
    <font>
      <sz val="12"/>
      <name val="Arial Narrow"/>
      <family val="2"/>
    </font>
    <font>
      <i/>
      <sz val="10"/>
      <name val="Arial Narrow"/>
      <family val="2"/>
    </font>
    <font>
      <sz val="16"/>
      <name val="Univers Condensed"/>
      <family val="2"/>
    </font>
    <font>
      <i/>
      <sz val="11"/>
      <name val="Arial Narrow"/>
      <family val="2"/>
    </font>
    <font>
      <i/>
      <sz val="14"/>
      <name val="Univers Condensed"/>
      <family val="2"/>
    </font>
    <font>
      <b/>
      <sz val="11"/>
      <name val="Univers Condensed"/>
      <family val="2"/>
    </font>
    <font>
      <sz val="11"/>
      <name val="Univers Condensed"/>
      <family val="2"/>
    </font>
    <font>
      <i/>
      <sz val="11"/>
      <name val="Univers Condensed"/>
      <family val="2"/>
    </font>
    <font>
      <b/>
      <sz val="16"/>
      <name val="Univers Condensed"/>
      <family val="2"/>
    </font>
    <font>
      <b/>
      <sz val="12"/>
      <name val="Univers Condensed"/>
      <family val="2"/>
    </font>
    <font>
      <sz val="14"/>
      <name val="Arial Narrow"/>
      <family val="2"/>
    </font>
    <font>
      <sz val="10"/>
      <name val="Univers Condensed"/>
      <family val="2"/>
    </font>
    <font>
      <sz val="12"/>
      <name val="Univers Condensed"/>
      <family val="2"/>
    </font>
    <font>
      <b/>
      <sz val="13"/>
      <name val="Univers Condensed"/>
      <family val="2"/>
    </font>
    <font>
      <sz val="11"/>
      <name val="Univers Condensed"/>
    </font>
    <font>
      <sz val="14"/>
      <name val="Univers Condensed"/>
    </font>
  </fonts>
  <fills count="24">
    <fill>
      <patternFill patternType="none"/>
    </fill>
    <fill>
      <patternFill patternType="gray125"/>
    </fill>
    <fill>
      <patternFill patternType="solid">
        <fgColor rgb="FFC6EFCE"/>
      </patternFill>
    </fill>
    <fill>
      <patternFill patternType="solid">
        <fgColor theme="3" tint="0.59999389629810485"/>
        <bgColor indexed="31"/>
      </patternFill>
    </fill>
    <fill>
      <patternFill patternType="solid">
        <fgColor theme="3" tint="0.59999389629810485"/>
        <bgColor indexed="64"/>
      </patternFill>
    </fill>
    <fill>
      <patternFill patternType="solid">
        <fgColor theme="3" tint="0.59999389629810485"/>
        <bgColor indexed="41"/>
      </patternFill>
    </fill>
    <fill>
      <patternFill patternType="solid">
        <fgColor theme="0"/>
        <bgColor indexed="64"/>
      </patternFill>
    </fill>
    <fill>
      <patternFill patternType="solid">
        <fgColor theme="0"/>
        <bgColor indexed="41"/>
      </patternFill>
    </fill>
    <fill>
      <patternFill patternType="solid">
        <fgColor rgb="FFFFFFFF"/>
        <bgColor indexed="64"/>
      </patternFill>
    </fill>
    <fill>
      <patternFill patternType="solid">
        <fgColor theme="3" tint="0.59999389629810485"/>
        <bgColor indexed="26"/>
      </patternFill>
    </fill>
    <fill>
      <patternFill patternType="solid">
        <fgColor rgb="FFFEF1DE"/>
        <bgColor indexed="64"/>
      </patternFill>
    </fill>
    <fill>
      <patternFill patternType="solid">
        <fgColor rgb="FFFFCC99"/>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FF0000"/>
        <bgColor indexed="64"/>
      </patternFill>
    </fill>
    <fill>
      <patternFill patternType="solid">
        <fgColor indexed="9"/>
        <bgColor indexed="8"/>
      </patternFill>
    </fill>
    <fill>
      <patternFill patternType="solid">
        <fgColor rgb="FFFFFF00"/>
        <bgColor indexed="8"/>
      </patternFill>
    </fill>
    <fill>
      <patternFill patternType="solid">
        <fgColor rgb="FFD1D1FF"/>
        <bgColor indexed="64"/>
      </patternFill>
    </fill>
    <fill>
      <patternFill patternType="solid">
        <fgColor theme="0"/>
        <bgColor indexed="8"/>
      </patternFill>
    </fill>
    <fill>
      <patternFill patternType="solid">
        <fgColor indexed="22"/>
        <bgColor indexed="64"/>
      </patternFill>
    </fill>
    <fill>
      <patternFill patternType="solid">
        <fgColor indexed="9"/>
        <bgColor indexed="64"/>
      </patternFill>
    </fill>
  </fills>
  <borders count="6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8"/>
      </left>
      <right style="thin">
        <color indexed="8"/>
      </right>
      <top style="thin">
        <color indexed="8"/>
      </top>
      <bottom/>
      <diagonal/>
    </border>
    <border>
      <left style="thin">
        <color indexed="8"/>
      </left>
      <right style="thin">
        <color indexed="8"/>
      </right>
      <top/>
      <bottom style="thin">
        <color indexed="64"/>
      </bottom>
      <diagonal/>
    </border>
    <border>
      <left style="thin">
        <color indexed="8"/>
      </left>
      <right style="thin">
        <color indexed="8"/>
      </right>
      <top style="thin">
        <color indexed="64"/>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top style="medium">
        <color indexed="64"/>
      </top>
      <bottom/>
      <diagonal/>
    </border>
    <border>
      <left style="thick">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8"/>
      </left>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8"/>
      </left>
      <right style="thin">
        <color indexed="64"/>
      </right>
      <top style="thin">
        <color indexed="8"/>
      </top>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s>
  <cellStyleXfs count="13">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2" borderId="0" applyNumberFormat="0" applyBorder="0" applyAlignment="0" applyProtection="0"/>
    <xf numFmtId="0" fontId="6" fillId="0" borderId="0"/>
    <xf numFmtId="0" fontId="6" fillId="0" borderId="0"/>
    <xf numFmtId="0" fontId="6" fillId="0" borderId="0"/>
    <xf numFmtId="164" fontId="6" fillId="0" borderId="0"/>
    <xf numFmtId="44" fontId="1" fillId="0" borderId="0" applyFont="0" applyFill="0" applyBorder="0" applyAlignment="0" applyProtection="0"/>
    <xf numFmtId="0" fontId="36" fillId="0" borderId="0"/>
    <xf numFmtId="0" fontId="9" fillId="0" borderId="0"/>
    <xf numFmtId="169" fontId="9" fillId="0" borderId="0" applyFont="0" applyFill="0" applyBorder="0" applyAlignment="0" applyProtection="0"/>
    <xf numFmtId="9" fontId="9" fillId="0" borderId="0" applyFont="0" applyFill="0" applyBorder="0" applyAlignment="0" applyProtection="0"/>
  </cellStyleXfs>
  <cellXfs count="712">
    <xf numFmtId="0" fontId="0" fillId="0" borderId="0" xfId="0"/>
    <xf numFmtId="0" fontId="0" fillId="0" borderId="0" xfId="0" applyFont="1" applyBorder="1" applyAlignment="1">
      <alignment wrapText="1"/>
    </xf>
    <xf numFmtId="0" fontId="0" fillId="0" borderId="0" xfId="0" applyFont="1" applyBorder="1"/>
    <xf numFmtId="165" fontId="7" fillId="0" borderId="0" xfId="1" applyNumberFormat="1" applyFont="1" applyBorder="1"/>
    <xf numFmtId="0" fontId="8" fillId="0" borderId="0" xfId="0" applyFont="1" applyBorder="1"/>
    <xf numFmtId="165" fontId="8" fillId="0" borderId="0" xfId="1" applyNumberFormat="1" applyFont="1" applyBorder="1"/>
    <xf numFmtId="0" fontId="8" fillId="0" borderId="0" xfId="0" applyFont="1" applyBorder="1" applyAlignment="1">
      <alignment horizontal="center"/>
    </xf>
    <xf numFmtId="10" fontId="9" fillId="0" borderId="0" xfId="2" applyNumberFormat="1" applyFont="1" applyBorder="1" applyAlignment="1">
      <alignment horizontal="center"/>
    </xf>
    <xf numFmtId="0" fontId="0" fillId="0" borderId="8" xfId="3" applyFont="1" applyFill="1" applyBorder="1" applyAlignment="1">
      <alignment horizontal="center" vertical="center" wrapText="1"/>
    </xf>
    <xf numFmtId="0" fontId="4" fillId="0" borderId="0" xfId="0" applyFont="1" applyFill="1" applyBorder="1" applyAlignment="1">
      <alignment vertical="center"/>
    </xf>
    <xf numFmtId="0" fontId="5" fillId="0" borderId="0" xfId="0" applyFont="1" applyBorder="1" applyAlignment="1">
      <alignment vertical="center" wrapText="1"/>
    </xf>
    <xf numFmtId="0" fontId="0" fillId="0" borderId="6" xfId="0" applyBorder="1" applyAlignment="1">
      <alignment vertical="center"/>
    </xf>
    <xf numFmtId="0" fontId="0" fillId="0" borderId="6" xfId="0" applyBorder="1" applyAlignment="1">
      <alignment horizontal="center"/>
    </xf>
    <xf numFmtId="0" fontId="0" fillId="0" borderId="6" xfId="0" applyBorder="1"/>
    <xf numFmtId="2" fontId="0" fillId="0" borderId="6" xfId="0" applyNumberFormat="1" applyBorder="1"/>
    <xf numFmtId="0" fontId="16" fillId="0" borderId="0" xfId="0" applyFont="1" applyBorder="1" applyAlignment="1"/>
    <xf numFmtId="0" fontId="16" fillId="0" borderId="0" xfId="0" applyFont="1" applyBorder="1" applyAlignment="1">
      <alignment vertical="center"/>
    </xf>
    <xf numFmtId="0" fontId="0" fillId="0" borderId="6" xfId="0" applyFill="1" applyBorder="1"/>
    <xf numFmtId="0" fontId="0" fillId="0" borderId="6" xfId="0" applyFont="1" applyFill="1" applyBorder="1"/>
    <xf numFmtId="0" fontId="17" fillId="0" borderId="6" xfId="0" applyFont="1" applyBorder="1" applyAlignment="1"/>
    <xf numFmtId="0" fontId="17" fillId="0" borderId="6" xfId="0" applyFont="1" applyBorder="1" applyAlignment="1">
      <alignment vertical="center"/>
    </xf>
    <xf numFmtId="0" fontId="17" fillId="0" borderId="6" xfId="0" applyFont="1" applyBorder="1"/>
    <xf numFmtId="0" fontId="16" fillId="0" borderId="0" xfId="0" applyFont="1" applyAlignment="1">
      <alignment vertical="center" wrapText="1"/>
    </xf>
    <xf numFmtId="2" fontId="0" fillId="0" borderId="6" xfId="0" applyNumberFormat="1" applyBorder="1" applyAlignment="1">
      <alignment horizontal="left"/>
    </xf>
    <xf numFmtId="0" fontId="0" fillId="0" borderId="6" xfId="0" applyBorder="1" applyAlignment="1">
      <alignment horizontal="left"/>
    </xf>
    <xf numFmtId="2" fontId="0" fillId="0" borderId="6" xfId="0" applyNumberFormat="1" applyBorder="1" applyAlignment="1">
      <alignment horizontal="center"/>
    </xf>
    <xf numFmtId="0" fontId="0" fillId="0" borderId="18" xfId="0" applyBorder="1"/>
    <xf numFmtId="0" fontId="0" fillId="0" borderId="24" xfId="0" applyFill="1" applyBorder="1"/>
    <xf numFmtId="0" fontId="0" fillId="0" borderId="18" xfId="0" applyBorder="1" applyAlignment="1">
      <alignment horizontal="left"/>
    </xf>
    <xf numFmtId="2" fontId="0" fillId="0" borderId="18" xfId="0" applyNumberFormat="1" applyBorder="1" applyAlignment="1">
      <alignment horizontal="left"/>
    </xf>
    <xf numFmtId="0" fontId="0" fillId="0" borderId="0" xfId="0" applyFill="1" applyBorder="1"/>
    <xf numFmtId="0" fontId="19" fillId="0" borderId="0" xfId="0" applyFont="1" applyFill="1" applyBorder="1" applyAlignment="1"/>
    <xf numFmtId="0" fontId="0" fillId="0" borderId="0" xfId="0" applyBorder="1" applyAlignment="1"/>
    <xf numFmtId="0" fontId="0" fillId="0" borderId="18" xfId="0" applyBorder="1" applyAlignment="1">
      <alignment horizontal="center"/>
    </xf>
    <xf numFmtId="0" fontId="0" fillId="0" borderId="18" xfId="0" applyFill="1" applyBorder="1"/>
    <xf numFmtId="0" fontId="16" fillId="0" borderId="0" xfId="0" applyFont="1" applyBorder="1" applyAlignment="1">
      <alignment wrapText="1"/>
    </xf>
    <xf numFmtId="0" fontId="0" fillId="0" borderId="0" xfId="0" applyBorder="1"/>
    <xf numFmtId="0" fontId="0" fillId="0" borderId="28" xfId="0" applyFill="1" applyBorder="1" applyAlignment="1">
      <alignment horizontal="center" vertical="center" wrapText="1"/>
    </xf>
    <xf numFmtId="0" fontId="0" fillId="0" borderId="20" xfId="0" applyFill="1" applyBorder="1" applyAlignment="1">
      <alignment vertical="center" wrapText="1"/>
    </xf>
    <xf numFmtId="0" fontId="0" fillId="0" borderId="18" xfId="0" applyFont="1" applyBorder="1"/>
    <xf numFmtId="0" fontId="18" fillId="0" borderId="24" xfId="0" applyFont="1" applyFill="1" applyBorder="1"/>
    <xf numFmtId="0" fontId="17" fillId="10" borderId="18" xfId="0" applyFont="1" applyFill="1" applyBorder="1" applyAlignment="1">
      <alignment horizontal="center" vertical="center" wrapText="1"/>
    </xf>
    <xf numFmtId="0" fontId="17" fillId="10" borderId="12" xfId="0" applyFont="1" applyFill="1" applyBorder="1" applyAlignment="1">
      <alignment horizontal="center" vertical="center" wrapText="1"/>
    </xf>
    <xf numFmtId="0" fontId="19" fillId="0" borderId="0" xfId="0" quotePrefix="1" applyFont="1" applyFill="1" applyBorder="1" applyAlignment="1"/>
    <xf numFmtId="0" fontId="17" fillId="0" borderId="6" xfId="0" applyFont="1" applyBorder="1" applyAlignment="1">
      <alignment horizontal="center"/>
    </xf>
    <xf numFmtId="0" fontId="0" fillId="0" borderId="18" xfId="0" applyBorder="1" applyAlignment="1">
      <alignment vertical="center"/>
    </xf>
    <xf numFmtId="2" fontId="0" fillId="0" borderId="18" xfId="0" applyNumberFormat="1" applyBorder="1"/>
    <xf numFmtId="2" fontId="0" fillId="0" borderId="16" xfId="0" applyNumberFormat="1" applyBorder="1" applyAlignment="1">
      <alignment horizontal="center"/>
    </xf>
    <xf numFmtId="0" fontId="0" fillId="0" borderId="16" xfId="0" applyBorder="1" applyAlignment="1">
      <alignment horizontal="center"/>
    </xf>
    <xf numFmtId="0" fontId="17" fillId="0" borderId="16" xfId="0" applyFont="1" applyBorder="1" applyAlignment="1">
      <alignment horizontal="center"/>
    </xf>
    <xf numFmtId="0" fontId="0" fillId="0" borderId="25" xfId="0" applyBorder="1" applyAlignment="1">
      <alignment horizontal="center"/>
    </xf>
    <xf numFmtId="0" fontId="20" fillId="0" borderId="24" xfId="0" applyFont="1" applyBorder="1"/>
    <xf numFmtId="0" fontId="19" fillId="0" borderId="0" xfId="0" applyFont="1" applyFill="1" applyBorder="1" applyAlignment="1">
      <alignment vertical="center"/>
    </xf>
    <xf numFmtId="0" fontId="0" fillId="0" borderId="13" xfId="0" applyFill="1" applyBorder="1"/>
    <xf numFmtId="0" fontId="0" fillId="13" borderId="18" xfId="0" applyFill="1" applyBorder="1" applyAlignment="1">
      <alignment horizontal="center" wrapText="1"/>
    </xf>
    <xf numFmtId="0" fontId="0" fillId="13" borderId="12" xfId="0" applyFill="1" applyBorder="1" applyAlignment="1">
      <alignment horizontal="center" wrapText="1"/>
    </xf>
    <xf numFmtId="0" fontId="0" fillId="13" borderId="18" xfId="0" applyFill="1" applyBorder="1" applyAlignment="1">
      <alignment horizontal="center" vertical="center" wrapText="1"/>
    </xf>
    <xf numFmtId="0" fontId="0" fillId="13" borderId="12" xfId="0" applyFill="1" applyBorder="1" applyAlignment="1">
      <alignment horizontal="center" vertical="center" wrapText="1"/>
    </xf>
    <xf numFmtId="0" fontId="17" fillId="13" borderId="18" xfId="0" applyFont="1" applyFill="1" applyBorder="1" applyAlignment="1">
      <alignment horizontal="center" wrapText="1"/>
    </xf>
    <xf numFmtId="0" fontId="17" fillId="13" borderId="12" xfId="0" applyFont="1" applyFill="1" applyBorder="1" applyAlignment="1">
      <alignment horizontal="center" wrapText="1"/>
    </xf>
    <xf numFmtId="0" fontId="17" fillId="13" borderId="18" xfId="0" applyFont="1" applyFill="1" applyBorder="1" applyAlignment="1">
      <alignment horizontal="center" vertical="center"/>
    </xf>
    <xf numFmtId="0" fontId="17" fillId="13" borderId="12" xfId="0" applyFont="1" applyFill="1" applyBorder="1" applyAlignment="1">
      <alignment horizontal="center" vertical="center"/>
    </xf>
    <xf numFmtId="0" fontId="0" fillId="0" borderId="15" xfId="0" applyBorder="1"/>
    <xf numFmtId="0" fontId="0" fillId="0" borderId="0" xfId="0" applyBorder="1" applyAlignment="1">
      <alignment horizontal="center" vertical="center"/>
    </xf>
    <xf numFmtId="0" fontId="0" fillId="0" borderId="0" xfId="0" applyFill="1" applyBorder="1" applyAlignment="1">
      <alignment horizontal="center" vertical="center"/>
    </xf>
    <xf numFmtId="0" fontId="0" fillId="0" borderId="26" xfId="0" applyBorder="1" applyAlignment="1">
      <alignment vertical="center"/>
    </xf>
    <xf numFmtId="0" fontId="18" fillId="0" borderId="0" xfId="0" applyFont="1" applyFill="1" applyBorder="1" applyAlignment="1"/>
    <xf numFmtId="0" fontId="0" fillId="13" borderId="12" xfId="0" applyFill="1" applyBorder="1" applyAlignment="1">
      <alignment horizontal="center"/>
    </xf>
    <xf numFmtId="0" fontId="0" fillId="0" borderId="20" xfId="0" applyFill="1" applyBorder="1"/>
    <xf numFmtId="0" fontId="0" fillId="0" borderId="19" xfId="0" applyFont="1" applyBorder="1"/>
    <xf numFmtId="0" fontId="20" fillId="0" borderId="6" xfId="0" applyFont="1" applyBorder="1"/>
    <xf numFmtId="0" fontId="0" fillId="0" borderId="28" xfId="0" applyFill="1" applyBorder="1"/>
    <xf numFmtId="0" fontId="0" fillId="0" borderId="19" xfId="0" applyBorder="1"/>
    <xf numFmtId="0" fontId="17" fillId="0" borderId="6" xfId="0" applyFont="1" applyFill="1" applyBorder="1"/>
    <xf numFmtId="0" fontId="0" fillId="13" borderId="6" xfId="0" applyFill="1" applyBorder="1" applyAlignment="1">
      <alignment horizontal="center"/>
    </xf>
    <xf numFmtId="0" fontId="18" fillId="0" borderId="6" xfId="0" applyFont="1" applyFill="1" applyBorder="1" applyAlignment="1">
      <alignment horizontal="center"/>
    </xf>
    <xf numFmtId="0" fontId="0" fillId="0" borderId="19" xfId="0" applyBorder="1"/>
    <xf numFmtId="0" fontId="16" fillId="0" borderId="0" xfId="0" applyFont="1"/>
    <xf numFmtId="2" fontId="0" fillId="0" borderId="30" xfId="0" applyNumberFormat="1" applyFill="1" applyBorder="1" applyAlignment="1">
      <alignment horizontal="left"/>
    </xf>
    <xf numFmtId="0" fontId="0" fillId="0" borderId="6" xfId="0" applyBorder="1" applyAlignment="1">
      <alignment horizontal="center"/>
    </xf>
    <xf numFmtId="0" fontId="19" fillId="0" borderId="9" xfId="0" applyFont="1" applyFill="1" applyBorder="1" applyAlignment="1">
      <alignment vertical="center"/>
    </xf>
    <xf numFmtId="2" fontId="0" fillId="0" borderId="12" xfId="0" applyNumberFormat="1" applyBorder="1"/>
    <xf numFmtId="2" fontId="18" fillId="0" borderId="11" xfId="0" applyNumberFormat="1" applyFont="1" applyBorder="1"/>
    <xf numFmtId="0" fontId="18" fillId="0" borderId="4" xfId="0" applyFont="1" applyFill="1" applyBorder="1" applyAlignment="1">
      <alignment vertical="center"/>
    </xf>
    <xf numFmtId="2" fontId="0" fillId="0" borderId="19" xfId="0" applyNumberFormat="1" applyBorder="1"/>
    <xf numFmtId="2" fontId="0" fillId="0" borderId="21" xfId="0" applyNumberFormat="1" applyBorder="1"/>
    <xf numFmtId="2" fontId="20" fillId="0" borderId="30" xfId="0" applyNumberFormat="1" applyFont="1" applyBorder="1"/>
    <xf numFmtId="0" fontId="21" fillId="0" borderId="18" xfId="0" applyFont="1" applyBorder="1"/>
    <xf numFmtId="0" fontId="18" fillId="0" borderId="32" xfId="0" applyFont="1" applyFill="1" applyBorder="1"/>
    <xf numFmtId="0" fontId="20" fillId="0" borderId="11" xfId="0" applyFont="1" applyBorder="1"/>
    <xf numFmtId="0" fontId="20" fillId="0" borderId="30" xfId="0" applyFont="1" applyBorder="1"/>
    <xf numFmtId="0" fontId="0" fillId="0" borderId="0" xfId="0" applyFill="1" applyBorder="1" applyAlignment="1"/>
    <xf numFmtId="0" fontId="18" fillId="0" borderId="12" xfId="0" applyFont="1" applyBorder="1" applyAlignment="1">
      <alignment horizontal="center"/>
    </xf>
    <xf numFmtId="0" fontId="18" fillId="0" borderId="33" xfId="0" applyFont="1" applyBorder="1" applyAlignment="1">
      <alignment horizontal="center"/>
    </xf>
    <xf numFmtId="0" fontId="0" fillId="0" borderId="6" xfId="0" applyFill="1" applyBorder="1" applyAlignment="1"/>
    <xf numFmtId="0" fontId="22" fillId="0" borderId="6" xfId="0" applyFont="1" applyFill="1" applyBorder="1"/>
    <xf numFmtId="0" fontId="23" fillId="0" borderId="6" xfId="0" applyFont="1" applyFill="1" applyBorder="1"/>
    <xf numFmtId="0" fontId="18" fillId="0" borderId="6" xfId="0" applyFont="1" applyFill="1" applyBorder="1"/>
    <xf numFmtId="0" fontId="18" fillId="0" borderId="6" xfId="0" applyFont="1" applyBorder="1" applyAlignment="1">
      <alignment horizontal="center"/>
    </xf>
    <xf numFmtId="0" fontId="0" fillId="0" borderId="0" xfId="0" applyBorder="1" applyAlignment="1">
      <alignment horizontal="center" vertical="center"/>
    </xf>
    <xf numFmtId="0" fontId="0" fillId="0" borderId="0" xfId="0" applyAlignment="1">
      <alignment horizontal="center"/>
    </xf>
    <xf numFmtId="0" fontId="0" fillId="0" borderId="0" xfId="0" applyAlignment="1">
      <alignment horizontal="center"/>
    </xf>
    <xf numFmtId="0" fontId="0" fillId="0" borderId="0" xfId="0" applyBorder="1" applyAlignment="1">
      <alignment horizontal="center" vertical="center"/>
    </xf>
    <xf numFmtId="0" fontId="18" fillId="0" borderId="0" xfId="0" applyFont="1" applyAlignment="1">
      <alignment horizontal="center"/>
    </xf>
    <xf numFmtId="0" fontId="0" fillId="0" borderId="0" xfId="0" applyAlignment="1">
      <alignment horizontal="left"/>
    </xf>
    <xf numFmtId="0" fontId="0" fillId="0" borderId="0" xfId="0" applyBorder="1" applyAlignment="1">
      <alignment horizontal="center" vertical="center"/>
    </xf>
    <xf numFmtId="0" fontId="0" fillId="0" borderId="6" xfId="0" applyBorder="1" applyAlignment="1">
      <alignment horizontal="center"/>
    </xf>
    <xf numFmtId="0" fontId="0" fillId="13" borderId="29" xfId="0" applyFill="1" applyBorder="1" applyAlignment="1">
      <alignment horizontal="center" vertical="center"/>
    </xf>
    <xf numFmtId="0" fontId="0" fillId="13" borderId="12" xfId="0" applyFill="1" applyBorder="1" applyAlignment="1">
      <alignment horizontal="center" vertical="center"/>
    </xf>
    <xf numFmtId="0" fontId="0" fillId="0" borderId="6" xfId="0" applyBorder="1" applyAlignment="1">
      <alignment horizontal="left"/>
    </xf>
    <xf numFmtId="0" fontId="0" fillId="0" borderId="0" xfId="0" applyFill="1" applyBorder="1" applyAlignment="1">
      <alignment horizontal="center"/>
    </xf>
    <xf numFmtId="0" fontId="0" fillId="0" borderId="0" xfId="0" applyBorder="1" applyAlignment="1">
      <alignment horizontal="center"/>
    </xf>
    <xf numFmtId="0" fontId="18" fillId="0" borderId="0" xfId="0" applyFont="1" applyFill="1" applyBorder="1" applyAlignment="1">
      <alignment horizontal="center"/>
    </xf>
    <xf numFmtId="0" fontId="0" fillId="0" borderId="16" xfId="0" applyFill="1" applyBorder="1"/>
    <xf numFmtId="0" fontId="0" fillId="0" borderId="17" xfId="0" applyBorder="1"/>
    <xf numFmtId="0" fontId="0" fillId="13" borderId="12" xfId="0" applyFill="1" applyBorder="1" applyAlignment="1">
      <alignment horizontal="center" wrapText="1"/>
    </xf>
    <xf numFmtId="0" fontId="0" fillId="13" borderId="29" xfId="0" applyFill="1" applyBorder="1" applyAlignment="1">
      <alignment horizontal="center" wrapText="1"/>
    </xf>
    <xf numFmtId="0" fontId="0" fillId="0" borderId="6" xfId="0" applyFill="1" applyBorder="1" applyAlignment="1">
      <alignment horizontal="center"/>
    </xf>
    <xf numFmtId="0" fontId="0" fillId="0" borderId="12" xfId="0" applyFill="1" applyBorder="1" applyAlignment="1">
      <alignment horizontal="center"/>
    </xf>
    <xf numFmtId="0" fontId="0" fillId="0" borderId="12" xfId="0" applyFill="1" applyBorder="1"/>
    <xf numFmtId="0" fontId="18" fillId="0" borderId="6" xfId="0" applyFont="1" applyBorder="1"/>
    <xf numFmtId="0" fontId="17" fillId="0" borderId="0" xfId="0" applyFont="1" applyBorder="1"/>
    <xf numFmtId="0" fontId="18" fillId="0" borderId="0" xfId="0" applyFont="1" applyFill="1" applyBorder="1"/>
    <xf numFmtId="0" fontId="17" fillId="0" borderId="0" xfId="0" applyFont="1" applyFill="1" applyBorder="1" applyAlignment="1">
      <alignment vertical="center" wrapText="1"/>
    </xf>
    <xf numFmtId="0" fontId="0" fillId="0" borderId="16" xfId="0" applyBorder="1"/>
    <xf numFmtId="0" fontId="0" fillId="0" borderId="0" xfId="0" applyFill="1" applyBorder="1" applyAlignment="1">
      <alignment wrapText="1"/>
    </xf>
    <xf numFmtId="0" fontId="0" fillId="0" borderId="17" xfId="0" applyFill="1" applyBorder="1"/>
    <xf numFmtId="0" fontId="0" fillId="13" borderId="34" xfId="0" applyFill="1" applyBorder="1" applyAlignment="1">
      <alignment horizontal="center" vertical="center" wrapText="1"/>
    </xf>
    <xf numFmtId="0" fontId="0" fillId="13" borderId="23" xfId="0" applyFill="1" applyBorder="1" applyAlignment="1">
      <alignment horizontal="center" vertical="center" wrapText="1"/>
    </xf>
    <xf numFmtId="0" fontId="0" fillId="0" borderId="24" xfId="0" applyBorder="1" applyAlignment="1">
      <alignment horizontal="center"/>
    </xf>
    <xf numFmtId="0" fontId="17" fillId="0" borderId="24" xfId="0" applyFont="1" applyFill="1" applyBorder="1" applyAlignment="1">
      <alignment vertical="center" wrapText="1"/>
    </xf>
    <xf numFmtId="0" fontId="18" fillId="0" borderId="24" xfId="0" applyFont="1" applyFill="1" applyBorder="1" applyAlignment="1">
      <alignment horizontal="center"/>
    </xf>
    <xf numFmtId="0" fontId="0" fillId="0" borderId="0" xfId="0" applyFill="1"/>
    <xf numFmtId="0" fontId="0" fillId="0" borderId="14" xfId="0" applyFill="1" applyBorder="1" applyAlignment="1">
      <alignment horizontal="center"/>
    </xf>
    <xf numFmtId="0" fontId="0" fillId="0" borderId="0" xfId="0" applyBorder="1" applyAlignment="1">
      <alignment horizontal="center" vertical="center"/>
    </xf>
    <xf numFmtId="0" fontId="0" fillId="0" borderId="0" xfId="0" applyBorder="1" applyAlignment="1">
      <alignment horizontal="center" vertical="center"/>
    </xf>
    <xf numFmtId="4" fontId="0" fillId="0" borderId="0" xfId="0" applyNumberFormat="1" applyBorder="1" applyAlignment="1">
      <alignment horizontal="center" vertical="center"/>
    </xf>
    <xf numFmtId="0" fontId="0" fillId="0" borderId="0" xfId="0" applyBorder="1" applyAlignment="1">
      <alignment horizontal="center" vertical="center"/>
    </xf>
    <xf numFmtId="0" fontId="0" fillId="0" borderId="0" xfId="0"/>
    <xf numFmtId="0" fontId="0" fillId="0" borderId="0" xfId="0" applyBorder="1" applyAlignment="1">
      <alignment horizontal="center" vertical="center"/>
    </xf>
    <xf numFmtId="0" fontId="0" fillId="0" borderId="0" xfId="0"/>
    <xf numFmtId="0" fontId="0" fillId="0" borderId="0" xfId="0" applyBorder="1" applyAlignment="1">
      <alignment horizontal="center" vertical="center"/>
    </xf>
    <xf numFmtId="0" fontId="0" fillId="0" borderId="0" xfId="0"/>
    <xf numFmtId="0" fontId="0" fillId="0" borderId="0" xfId="0" applyBorder="1" applyAlignment="1">
      <alignment horizontal="center" vertical="center"/>
    </xf>
    <xf numFmtId="0" fontId="0" fillId="0" borderId="0" xfId="0"/>
    <xf numFmtId="0" fontId="0" fillId="0" borderId="0" xfId="0" applyBorder="1" applyAlignment="1">
      <alignment horizontal="center" vertical="center"/>
    </xf>
    <xf numFmtId="0" fontId="11" fillId="5" borderId="7" xfId="4" applyFont="1" applyFill="1" applyBorder="1" applyAlignment="1">
      <alignment vertical="center" wrapText="1"/>
    </xf>
    <xf numFmtId="0" fontId="11" fillId="3" borderId="35" xfId="4" applyFont="1" applyFill="1" applyBorder="1" applyAlignment="1">
      <alignment horizontal="center" vertical="center" wrapText="1"/>
    </xf>
    <xf numFmtId="4" fontId="11" fillId="3" borderId="35" xfId="4" applyNumberFormat="1" applyFont="1" applyFill="1" applyBorder="1" applyAlignment="1">
      <alignment horizontal="center" vertical="center" wrapText="1"/>
    </xf>
    <xf numFmtId="0" fontId="11" fillId="4" borderId="18" xfId="0" applyFont="1" applyFill="1" applyBorder="1" applyAlignment="1">
      <alignment horizontal="center" vertical="center" wrapText="1"/>
    </xf>
    <xf numFmtId="0" fontId="11" fillId="5" borderId="36" xfId="4" applyFont="1" applyFill="1" applyBorder="1" applyAlignment="1">
      <alignment horizontal="center" vertical="center" wrapText="1"/>
    </xf>
    <xf numFmtId="0" fontId="11" fillId="5" borderId="36" xfId="4" applyFont="1" applyFill="1" applyBorder="1" applyAlignment="1">
      <alignment vertical="center" wrapText="1"/>
    </xf>
    <xf numFmtId="0" fontId="11" fillId="5" borderId="37" xfId="4" applyFont="1" applyFill="1" applyBorder="1" applyAlignment="1">
      <alignment horizontal="center" vertical="center" wrapText="1"/>
    </xf>
    <xf numFmtId="0" fontId="11" fillId="5" borderId="37" xfId="4" applyFont="1" applyFill="1" applyBorder="1" applyAlignment="1">
      <alignment vertical="center" wrapText="1"/>
    </xf>
    <xf numFmtId="3" fontId="9" fillId="6" borderId="8" xfId="4" applyNumberFormat="1" applyFont="1" applyFill="1" applyBorder="1" applyAlignment="1">
      <alignment horizontal="left" vertical="center" wrapText="1"/>
    </xf>
    <xf numFmtId="0" fontId="9" fillId="6" borderId="8" xfId="4" applyNumberFormat="1" applyFont="1" applyFill="1" applyBorder="1" applyAlignment="1" applyProtection="1">
      <alignment horizontal="center" vertical="center" wrapText="1"/>
    </xf>
    <xf numFmtId="4" fontId="9" fillId="6" borderId="8" xfId="4" applyNumberFormat="1" applyFont="1" applyFill="1" applyBorder="1" applyAlignment="1">
      <alignment horizontal="right" vertical="center" wrapText="1"/>
    </xf>
    <xf numFmtId="4" fontId="9" fillId="0" borderId="8" xfId="4" applyNumberFormat="1" applyFont="1" applyFill="1" applyBorder="1" applyAlignment="1" applyProtection="1">
      <alignment horizontal="right" vertical="center" wrapText="1"/>
    </xf>
    <xf numFmtId="4" fontId="9" fillId="0" borderId="8" xfId="4" applyNumberFormat="1" applyFont="1" applyFill="1" applyBorder="1" applyAlignment="1">
      <alignment horizontal="right" vertical="center" wrapText="1"/>
    </xf>
    <xf numFmtId="0" fontId="11" fillId="5" borderId="7" xfId="4" applyFont="1" applyFill="1" applyBorder="1" applyAlignment="1">
      <alignment horizontal="center" vertical="center" wrapText="1"/>
    </xf>
    <xf numFmtId="0" fontId="9" fillId="6" borderId="8" xfId="4" applyFont="1" applyFill="1" applyBorder="1" applyAlignment="1">
      <alignment horizontal="center" vertical="center" wrapText="1"/>
    </xf>
    <xf numFmtId="0" fontId="9" fillId="6" borderId="8" xfId="6" applyFont="1" applyFill="1" applyBorder="1" applyAlignment="1">
      <alignment horizontal="center" vertical="center" wrapText="1"/>
    </xf>
    <xf numFmtId="3" fontId="0" fillId="0" borderId="8" xfId="6" applyNumberFormat="1" applyFont="1" applyFill="1" applyBorder="1" applyAlignment="1" applyProtection="1">
      <alignment horizontal="left" vertical="center" wrapText="1"/>
    </xf>
    <xf numFmtId="0" fontId="0" fillId="0" borderId="8" xfId="6" applyFont="1" applyBorder="1" applyAlignment="1">
      <alignment horizontal="center" vertical="center" wrapText="1"/>
    </xf>
    <xf numFmtId="164" fontId="9" fillId="6" borderId="8" xfId="7" applyFont="1" applyFill="1" applyBorder="1" applyAlignment="1">
      <alignment vertical="center"/>
    </xf>
    <xf numFmtId="0" fontId="9" fillId="0" borderId="8" xfId="6" applyFont="1" applyFill="1" applyBorder="1" applyAlignment="1">
      <alignment horizontal="center" vertical="center" wrapText="1"/>
    </xf>
    <xf numFmtId="2" fontId="9" fillId="7" borderId="8" xfId="4" applyNumberFormat="1" applyFont="1" applyFill="1" applyBorder="1" applyAlignment="1">
      <alignment vertical="center" wrapText="1"/>
    </xf>
    <xf numFmtId="4" fontId="9" fillId="6" borderId="8" xfId="6" applyNumberFormat="1" applyFont="1" applyFill="1" applyBorder="1" applyAlignment="1">
      <alignment horizontal="right" vertical="center" wrapText="1"/>
    </xf>
    <xf numFmtId="0" fontId="9" fillId="7" borderId="8" xfId="4" applyFont="1" applyFill="1" applyBorder="1" applyAlignment="1">
      <alignment horizontal="center" vertical="center" wrapText="1"/>
    </xf>
    <xf numFmtId="2" fontId="9" fillId="7" borderId="8" xfId="4" applyNumberFormat="1" applyFont="1" applyFill="1" applyBorder="1" applyAlignment="1">
      <alignment horizontal="right" vertical="center" wrapText="1"/>
    </xf>
    <xf numFmtId="4" fontId="9" fillId="0" borderId="8" xfId="6" applyNumberFormat="1" applyFont="1" applyFill="1" applyBorder="1" applyAlignment="1">
      <alignment horizontal="right" vertical="center" wrapText="1"/>
    </xf>
    <xf numFmtId="0" fontId="0" fillId="0" borderId="8" xfId="0" applyBorder="1" applyAlignment="1">
      <alignment horizontal="center" vertical="center" wrapText="1"/>
    </xf>
    <xf numFmtId="4" fontId="12" fillId="8" borderId="8" xfId="0" applyNumberFormat="1" applyFont="1" applyFill="1" applyBorder="1" applyAlignment="1">
      <alignment horizontal="center" vertical="center" wrapText="1"/>
    </xf>
    <xf numFmtId="0" fontId="0" fillId="0" borderId="0" xfId="0"/>
    <xf numFmtId="0" fontId="0" fillId="0" borderId="0" xfId="0" applyBorder="1" applyAlignment="1">
      <alignment horizontal="center" vertical="center"/>
    </xf>
    <xf numFmtId="4" fontId="9" fillId="6" borderId="0" xfId="6" applyNumberFormat="1" applyFont="1" applyFill="1" applyBorder="1" applyAlignment="1">
      <alignment horizontal="right" vertical="center" wrapText="1"/>
    </xf>
    <xf numFmtId="0" fontId="9" fillId="6" borderId="8" xfId="6" applyNumberFormat="1" applyFont="1" applyFill="1" applyBorder="1" applyAlignment="1" applyProtection="1">
      <alignment horizontal="center" vertical="center" wrapText="1"/>
    </xf>
    <xf numFmtId="164" fontId="9" fillId="6" borderId="8" xfId="7" applyNumberFormat="1" applyFont="1" applyFill="1" applyBorder="1" applyAlignment="1" applyProtection="1">
      <alignment horizontal="right" vertical="center" wrapText="1"/>
    </xf>
    <xf numFmtId="0" fontId="0" fillId="0" borderId="0" xfId="0" applyAlignment="1">
      <alignment vertical="center"/>
    </xf>
    <xf numFmtId="0" fontId="0" fillId="0" borderId="0" xfId="0"/>
    <xf numFmtId="0" fontId="0" fillId="0" borderId="0" xfId="0" applyBorder="1" applyAlignment="1">
      <alignment horizontal="center" vertical="center"/>
    </xf>
    <xf numFmtId="0" fontId="0" fillId="0" borderId="0" xfId="0"/>
    <xf numFmtId="0" fontId="0" fillId="0" borderId="0" xfId="0" applyBorder="1" applyAlignment="1">
      <alignment horizontal="center" vertical="center"/>
    </xf>
    <xf numFmtId="0" fontId="0" fillId="0" borderId="6" xfId="0" applyBorder="1" applyAlignment="1">
      <alignment horizontal="center" vertical="center"/>
    </xf>
    <xf numFmtId="0" fontId="0" fillId="0" borderId="6" xfId="0" applyBorder="1" applyAlignment="1">
      <alignment horizontal="left"/>
    </xf>
    <xf numFmtId="0" fontId="0" fillId="0" borderId="6" xfId="0" applyBorder="1" applyAlignment="1">
      <alignment horizontal="center"/>
    </xf>
    <xf numFmtId="0" fontId="0" fillId="10" borderId="29" xfId="0" applyFill="1" applyBorder="1" applyAlignment="1">
      <alignment horizontal="center" vertical="center" wrapText="1"/>
    </xf>
    <xf numFmtId="0" fontId="0" fillId="10" borderId="23" xfId="0" applyFill="1" applyBorder="1" applyAlignment="1">
      <alignment horizontal="center" vertical="center" wrapText="1"/>
    </xf>
    <xf numFmtId="0" fontId="0" fillId="0" borderId="0" xfId="0" applyAlignment="1"/>
    <xf numFmtId="0" fontId="0" fillId="0" borderId="38" xfId="0" applyBorder="1" applyAlignment="1">
      <alignment horizontal="center"/>
    </xf>
    <xf numFmtId="0" fontId="0" fillId="0" borderId="38"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vertical="center" wrapText="1"/>
    </xf>
    <xf numFmtId="2" fontId="18" fillId="0" borderId="6" xfId="0" applyNumberFormat="1" applyFont="1" applyFill="1" applyBorder="1" applyAlignment="1">
      <alignment horizontal="left"/>
    </xf>
    <xf numFmtId="2" fontId="18" fillId="0" borderId="38" xfId="0" applyNumberFormat="1" applyFont="1" applyFill="1" applyBorder="1" applyAlignment="1">
      <alignment horizontal="left"/>
    </xf>
    <xf numFmtId="0" fontId="18" fillId="0" borderId="6" xfId="0" applyFont="1" applyFill="1" applyBorder="1" applyAlignment="1">
      <alignment horizontal="left" vertical="center"/>
    </xf>
    <xf numFmtId="0" fontId="18" fillId="0" borderId="39" xfId="0" applyFont="1" applyBorder="1"/>
    <xf numFmtId="0" fontId="18" fillId="0" borderId="40" xfId="0" applyFont="1" applyBorder="1"/>
    <xf numFmtId="0" fontId="0" fillId="10" borderId="41" xfId="0" applyFill="1" applyBorder="1" applyAlignment="1">
      <alignment horizontal="center" vertical="center" wrapText="1"/>
    </xf>
    <xf numFmtId="0" fontId="0" fillId="0" borderId="42" xfId="0" applyBorder="1" applyAlignment="1">
      <alignment horizontal="center"/>
    </xf>
    <xf numFmtId="2" fontId="0" fillId="0" borderId="22" xfId="0" applyNumberFormat="1" applyBorder="1" applyAlignment="1">
      <alignment horizontal="center"/>
    </xf>
    <xf numFmtId="0" fontId="0" fillId="0" borderId="22" xfId="0" applyBorder="1" applyAlignment="1">
      <alignment horizontal="center" vertical="center"/>
    </xf>
    <xf numFmtId="0" fontId="0" fillId="0" borderId="23" xfId="0" applyBorder="1" applyAlignment="1">
      <alignment horizontal="center" vertical="center"/>
    </xf>
    <xf numFmtId="0" fontId="0" fillId="10" borderId="42" xfId="0" applyFill="1" applyBorder="1" applyAlignment="1">
      <alignment horizontal="center" vertical="center" wrapText="1"/>
    </xf>
    <xf numFmtId="0" fontId="0" fillId="10" borderId="22" xfId="0" applyFill="1" applyBorder="1" applyAlignment="1">
      <alignment horizontal="center" vertical="center" wrapText="1"/>
    </xf>
    <xf numFmtId="0" fontId="0" fillId="0" borderId="0" xfId="0"/>
    <xf numFmtId="0" fontId="0" fillId="0" borderId="0" xfId="0" applyBorder="1" applyAlignment="1">
      <alignment horizontal="center" vertical="center"/>
    </xf>
    <xf numFmtId="0" fontId="0" fillId="0" borderId="0" xfId="0"/>
    <xf numFmtId="0" fontId="0" fillId="0" borderId="0" xfId="0" applyBorder="1" applyAlignment="1">
      <alignment horizontal="center" vertical="center"/>
    </xf>
    <xf numFmtId="164" fontId="9" fillId="6" borderId="8" xfId="7" applyNumberFormat="1" applyFont="1" applyFill="1" applyBorder="1" applyAlignment="1">
      <alignment vertical="center"/>
    </xf>
    <xf numFmtId="0" fontId="0" fillId="0" borderId="0" xfId="0"/>
    <xf numFmtId="0" fontId="0" fillId="0" borderId="12" xfId="0" applyBorder="1"/>
    <xf numFmtId="0" fontId="0" fillId="0" borderId="0" xfId="0" applyBorder="1" applyAlignment="1">
      <alignment horizontal="center" vertical="center"/>
    </xf>
    <xf numFmtId="0" fontId="0" fillId="0" borderId="0" xfId="0"/>
    <xf numFmtId="0" fontId="0" fillId="0" borderId="0" xfId="0" applyBorder="1" applyAlignment="1">
      <alignment horizontal="center" vertical="center"/>
    </xf>
    <xf numFmtId="0" fontId="27" fillId="0" borderId="6" xfId="0" applyFont="1" applyBorder="1"/>
    <xf numFmtId="0" fontId="27" fillId="0" borderId="6" xfId="0" applyFont="1" applyBorder="1" applyAlignment="1">
      <alignment horizontal="left"/>
    </xf>
    <xf numFmtId="0" fontId="27" fillId="0" borderId="0" xfId="0" applyFont="1" applyBorder="1"/>
    <xf numFmtId="0" fontId="27" fillId="0" borderId="12" xfId="0" applyFont="1" applyBorder="1" applyAlignment="1">
      <alignment horizontal="center"/>
    </xf>
    <xf numFmtId="0" fontId="27" fillId="0" borderId="12" xfId="0" applyFont="1" applyBorder="1" applyAlignment="1">
      <alignment horizontal="left"/>
    </xf>
    <xf numFmtId="0" fontId="27" fillId="15" borderId="43" xfId="0" applyFont="1" applyFill="1" applyBorder="1" applyAlignment="1">
      <alignment horizontal="center" vertical="center"/>
    </xf>
    <xf numFmtId="0" fontId="27" fillId="15" borderId="44" xfId="0" applyFont="1" applyFill="1" applyBorder="1" applyAlignment="1">
      <alignment horizontal="center" vertical="center"/>
    </xf>
    <xf numFmtId="0" fontId="27" fillId="15" borderId="45" xfId="0" applyFont="1" applyFill="1" applyBorder="1" applyAlignment="1">
      <alignment horizontal="center" vertical="center"/>
    </xf>
    <xf numFmtId="166" fontId="0" fillId="0" borderId="6" xfId="0" applyNumberFormat="1" applyFill="1" applyBorder="1"/>
    <xf numFmtId="166" fontId="0" fillId="0" borderId="6" xfId="0" applyNumberFormat="1" applyBorder="1"/>
    <xf numFmtId="0" fontId="27" fillId="0" borderId="12" xfId="0" applyFont="1" applyFill="1" applyBorder="1" applyAlignment="1">
      <alignment horizontal="center"/>
    </xf>
    <xf numFmtId="0" fontId="18" fillId="0" borderId="43" xfId="0" applyFont="1" applyFill="1" applyBorder="1"/>
    <xf numFmtId="0" fontId="18" fillId="0" borderId="15" xfId="0" applyFont="1" applyBorder="1"/>
    <xf numFmtId="0" fontId="27" fillId="0" borderId="18" xfId="0" applyFont="1" applyBorder="1"/>
    <xf numFmtId="166" fontId="0" fillId="0" borderId="18" xfId="0" applyNumberFormat="1" applyBorder="1"/>
    <xf numFmtId="0" fontId="30" fillId="5" borderId="7" xfId="4" applyFont="1" applyFill="1" applyBorder="1" applyAlignment="1">
      <alignment vertical="center" wrapText="1"/>
    </xf>
    <xf numFmtId="0" fontId="17" fillId="0" borderId="0" xfId="0" applyFont="1" applyFill="1" applyBorder="1" applyAlignment="1">
      <alignment vertical="center"/>
    </xf>
    <xf numFmtId="0" fontId="0" fillId="0" borderId="12" xfId="0" applyBorder="1" applyAlignment="1">
      <alignment horizontal="center"/>
    </xf>
    <xf numFmtId="2" fontId="0" fillId="0" borderId="0" xfId="0" applyNumberFormat="1"/>
    <xf numFmtId="0" fontId="18" fillId="0" borderId="0" xfId="0" applyFont="1" applyBorder="1"/>
    <xf numFmtId="0" fontId="0" fillId="0" borderId="0" xfId="0"/>
    <xf numFmtId="0" fontId="0" fillId="0" borderId="0" xfId="0" applyBorder="1" applyAlignment="1">
      <alignment horizontal="center" vertical="center"/>
    </xf>
    <xf numFmtId="0" fontId="0" fillId="6" borderId="6" xfId="0" applyFill="1" applyBorder="1"/>
    <xf numFmtId="0" fontId="0" fillId="6" borderId="0" xfId="0" applyFill="1" applyBorder="1" applyAlignment="1">
      <alignment vertical="center"/>
    </xf>
    <xf numFmtId="2" fontId="0" fillId="0" borderId="6" xfId="0" applyNumberFormat="1" applyFont="1" applyBorder="1"/>
    <xf numFmtId="0" fontId="0" fillId="0" borderId="0" xfId="0"/>
    <xf numFmtId="0" fontId="0" fillId="0" borderId="0" xfId="0"/>
    <xf numFmtId="0" fontId="0" fillId="0" borderId="0" xfId="0" applyBorder="1" applyAlignment="1">
      <alignment horizontal="center" vertical="center"/>
    </xf>
    <xf numFmtId="0" fontId="0" fillId="0" borderId="0" xfId="0"/>
    <xf numFmtId="0" fontId="0" fillId="0" borderId="0" xfId="0" applyBorder="1" applyAlignment="1">
      <alignment horizontal="center" vertical="center"/>
    </xf>
    <xf numFmtId="4" fontId="9" fillId="6" borderId="0" xfId="4" applyNumberFormat="1" applyFont="1" applyFill="1" applyBorder="1" applyAlignment="1">
      <alignment horizontal="right" vertical="center" wrapText="1"/>
    </xf>
    <xf numFmtId="0" fontId="9" fillId="6" borderId="6" xfId="4" applyFont="1" applyFill="1" applyBorder="1" applyAlignment="1">
      <alignment horizontal="center" vertical="center" wrapText="1"/>
    </xf>
    <xf numFmtId="4" fontId="9" fillId="6" borderId="6" xfId="4" applyNumberFormat="1" applyFont="1" applyFill="1" applyBorder="1" applyAlignment="1">
      <alignment horizontal="right" vertical="center" wrapText="1"/>
    </xf>
    <xf numFmtId="0" fontId="0" fillId="0" borderId="0" xfId="0"/>
    <xf numFmtId="2" fontId="0" fillId="14" borderId="6" xfId="0" applyNumberFormat="1" applyFill="1" applyBorder="1"/>
    <xf numFmtId="0" fontId="16" fillId="17" borderId="0" xfId="0" applyFont="1" applyFill="1"/>
    <xf numFmtId="0" fontId="17" fillId="17" borderId="0" xfId="0" applyFont="1" applyFill="1"/>
    <xf numFmtId="2" fontId="18" fillId="0" borderId="12" xfId="0" applyNumberFormat="1" applyFont="1" applyBorder="1"/>
    <xf numFmtId="0" fontId="0" fillId="6" borderId="6" xfId="0" applyFill="1" applyBorder="1" applyAlignment="1">
      <alignment vertical="center"/>
    </xf>
    <xf numFmtId="2" fontId="0" fillId="0" borderId="26" xfId="0" applyNumberFormat="1" applyFill="1" applyBorder="1"/>
    <xf numFmtId="0" fontId="0" fillId="0" borderId="0" xfId="0"/>
    <xf numFmtId="2" fontId="18" fillId="0" borderId="18" xfId="0" applyNumberFormat="1" applyFont="1" applyBorder="1"/>
    <xf numFmtId="0" fontId="0" fillId="0" borderId="0" xfId="0"/>
    <xf numFmtId="0" fontId="0" fillId="0" borderId="0" xfId="0"/>
    <xf numFmtId="0" fontId="0" fillId="0" borderId="0" xfId="0"/>
    <xf numFmtId="0" fontId="0" fillId="0" borderId="0" xfId="0"/>
    <xf numFmtId="0" fontId="0" fillId="0" borderId="0" xfId="0"/>
    <xf numFmtId="0" fontId="0" fillId="0" borderId="6" xfId="0" applyBorder="1" applyAlignment="1">
      <alignment horizontal="left"/>
    </xf>
    <xf numFmtId="0" fontId="37" fillId="18" borderId="6" xfId="9" applyFont="1" applyFill="1" applyBorder="1" applyAlignment="1">
      <alignment horizontal="center" vertical="center" wrapText="1"/>
    </xf>
    <xf numFmtId="0" fontId="37" fillId="18" borderId="6" xfId="9" applyFont="1" applyFill="1" applyBorder="1" applyAlignment="1">
      <alignment horizontal="left" vertical="center" wrapText="1"/>
    </xf>
    <xf numFmtId="4" fontId="37" fillId="18" borderId="6" xfId="9" applyNumberFormat="1" applyFont="1" applyFill="1" applyBorder="1" applyAlignment="1">
      <alignment horizontal="center" vertical="center" wrapText="1"/>
    </xf>
    <xf numFmtId="0" fontId="37" fillId="18" borderId="6" xfId="9" applyNumberFormat="1" applyFont="1" applyFill="1" applyBorder="1" applyAlignment="1">
      <alignment horizontal="center" vertical="center" wrapText="1"/>
    </xf>
    <xf numFmtId="0" fontId="37" fillId="19" borderId="6" xfId="9" applyFont="1" applyFill="1" applyBorder="1" applyAlignment="1">
      <alignment horizontal="center" vertical="center" wrapText="1"/>
    </xf>
    <xf numFmtId="0" fontId="37" fillId="19" borderId="6" xfId="9" applyFont="1" applyFill="1" applyBorder="1" applyAlignment="1">
      <alignment horizontal="left" vertical="center" wrapText="1"/>
    </xf>
    <xf numFmtId="0" fontId="0" fillId="0" borderId="0" xfId="0"/>
    <xf numFmtId="0" fontId="37" fillId="19" borderId="6" xfId="9" quotePrefix="1" applyFont="1" applyFill="1" applyBorder="1" applyAlignment="1">
      <alignment horizontal="center" vertical="center" wrapText="1"/>
    </xf>
    <xf numFmtId="4" fontId="37" fillId="18" borderId="18" xfId="9" applyNumberFormat="1" applyFont="1" applyFill="1" applyBorder="1" applyAlignment="1">
      <alignment horizontal="center" vertical="center" wrapText="1"/>
    </xf>
    <xf numFmtId="0" fontId="0" fillId="0" borderId="0" xfId="0"/>
    <xf numFmtId="0" fontId="0" fillId="0" borderId="0" xfId="0" applyAlignment="1">
      <alignment horizontal="center"/>
    </xf>
    <xf numFmtId="0" fontId="0" fillId="0" borderId="0" xfId="0" applyAlignment="1">
      <alignment horizontal="left" wrapText="1"/>
    </xf>
    <xf numFmtId="4" fontId="0" fillId="0" borderId="6" xfId="0" applyNumberFormat="1" applyBorder="1" applyAlignment="1">
      <alignment horizontal="center" vertical="center"/>
    </xf>
    <xf numFmtId="2" fontId="0" fillId="0" borderId="6" xfId="0" applyNumberFormat="1" applyBorder="1" applyAlignment="1">
      <alignment horizontal="center" vertical="center"/>
    </xf>
    <xf numFmtId="0" fontId="0" fillId="0" borderId="0" xfId="0"/>
    <xf numFmtId="0" fontId="0" fillId="14" borderId="0" xfId="0" applyFill="1"/>
    <xf numFmtId="0" fontId="0" fillId="16" borderId="0" xfId="0" applyFill="1"/>
    <xf numFmtId="2" fontId="0" fillId="16" borderId="0" xfId="0" applyNumberFormat="1" applyFill="1"/>
    <xf numFmtId="0" fontId="0" fillId="20" borderId="6" xfId="0" applyFill="1" applyBorder="1"/>
    <xf numFmtId="0" fontId="0" fillId="0" borderId="0" xfId="0"/>
    <xf numFmtId="0" fontId="0" fillId="0" borderId="0" xfId="0"/>
    <xf numFmtId="0" fontId="0" fillId="0" borderId="0" xfId="0"/>
    <xf numFmtId="0" fontId="0" fillId="0" borderId="0" xfId="0"/>
    <xf numFmtId="0" fontId="0" fillId="0" borderId="0" xfId="0"/>
    <xf numFmtId="0" fontId="0" fillId="6" borderId="8" xfId="3" applyFont="1" applyFill="1" applyBorder="1" applyAlignment="1">
      <alignment horizontal="center" vertical="center" wrapText="1"/>
    </xf>
    <xf numFmtId="4" fontId="9" fillId="6" borderId="8" xfId="6" applyNumberFormat="1" applyFont="1" applyFill="1" applyBorder="1" applyAlignment="1">
      <alignment horizontal="center" vertical="center" wrapText="1"/>
    </xf>
    <xf numFmtId="0" fontId="0" fillId="0" borderId="0" xfId="0"/>
    <xf numFmtId="0" fontId="0" fillId="6" borderId="0" xfId="0" applyFill="1"/>
    <xf numFmtId="0" fontId="0" fillId="6" borderId="0" xfId="0" applyFill="1" applyBorder="1" applyAlignment="1">
      <alignment horizontal="center" vertical="center"/>
    </xf>
    <xf numFmtId="0" fontId="20" fillId="0" borderId="6" xfId="0" applyFont="1" applyFill="1" applyBorder="1"/>
    <xf numFmtId="0" fontId="0" fillId="14" borderId="6" xfId="0" applyFill="1" applyBorder="1"/>
    <xf numFmtId="0" fontId="0" fillId="14" borderId="6" xfId="0" applyFill="1" applyBorder="1" applyAlignment="1">
      <alignment horizontal="center"/>
    </xf>
    <xf numFmtId="0" fontId="0" fillId="14" borderId="6" xfId="0" applyFill="1" applyBorder="1" applyAlignment="1">
      <alignment horizontal="left"/>
    </xf>
    <xf numFmtId="0" fontId="0" fillId="14" borderId="6" xfId="0" applyFill="1" applyBorder="1" applyAlignment="1">
      <alignment horizontal="center" vertical="center"/>
    </xf>
    <xf numFmtId="0" fontId="0" fillId="14" borderId="16" xfId="0" applyFill="1" applyBorder="1" applyAlignment="1">
      <alignment horizontal="center" vertical="center"/>
    </xf>
    <xf numFmtId="0" fontId="0" fillId="14" borderId="38" xfId="0" applyFill="1" applyBorder="1" applyAlignment="1">
      <alignment horizontal="center"/>
    </xf>
    <xf numFmtId="0" fontId="0" fillId="14" borderId="23" xfId="0" applyFill="1" applyBorder="1" applyAlignment="1">
      <alignment horizontal="center" vertical="center"/>
    </xf>
    <xf numFmtId="0" fontId="0" fillId="0" borderId="6" xfId="0" applyBorder="1" applyAlignment="1">
      <alignment horizontal="center" vertical="center"/>
    </xf>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xf>
    <xf numFmtId="0" fontId="0" fillId="0" borderId="0" xfId="0"/>
    <xf numFmtId="0" fontId="37" fillId="18" borderId="18" xfId="9" applyFont="1" applyFill="1" applyBorder="1" applyAlignment="1">
      <alignment horizontal="center" vertical="center" wrapText="1"/>
    </xf>
    <xf numFmtId="0" fontId="37" fillId="18" borderId="18" xfId="9" applyFont="1" applyFill="1" applyBorder="1" applyAlignment="1">
      <alignment horizontal="left" vertical="center" wrapText="1"/>
    </xf>
    <xf numFmtId="0" fontId="0" fillId="0" borderId="6" xfId="0" applyBorder="1" applyAlignment="1">
      <alignment horizontal="left" wrapText="1"/>
    </xf>
    <xf numFmtId="4" fontId="0" fillId="0" borderId="0" xfId="0" applyNumberFormat="1" applyAlignment="1">
      <alignment horizontal="center" vertical="center"/>
    </xf>
    <xf numFmtId="0" fontId="38" fillId="18" borderId="6" xfId="9" applyFont="1" applyFill="1" applyBorder="1" applyAlignment="1">
      <alignment horizontal="center" vertical="center" wrapText="1"/>
    </xf>
    <xf numFmtId="0" fontId="39" fillId="0" borderId="6" xfId="0" applyFont="1" applyBorder="1" applyAlignment="1">
      <alignment horizontal="center" vertical="center"/>
    </xf>
    <xf numFmtId="0" fontId="37" fillId="21" borderId="6" xfId="9" applyFont="1" applyFill="1" applyBorder="1" applyAlignment="1">
      <alignment horizontal="center" vertical="center" wrapText="1"/>
    </xf>
    <xf numFmtId="0" fontId="37" fillId="21" borderId="6" xfId="9" applyFont="1" applyFill="1" applyBorder="1" applyAlignment="1">
      <alignment horizontal="left" vertical="center" wrapText="1"/>
    </xf>
    <xf numFmtId="4" fontId="37" fillId="21" borderId="6" xfId="9" applyNumberFormat="1" applyFont="1" applyFill="1" applyBorder="1" applyAlignment="1">
      <alignment horizontal="center" vertical="center" wrapText="1"/>
    </xf>
    <xf numFmtId="3" fontId="9" fillId="6" borderId="48" xfId="4" applyNumberFormat="1" applyFont="1" applyFill="1" applyBorder="1" applyAlignment="1">
      <alignment horizontal="left" vertical="center" wrapText="1"/>
    </xf>
    <xf numFmtId="0" fontId="9" fillId="6" borderId="48" xfId="5" applyNumberFormat="1" applyFont="1" applyFill="1" applyBorder="1" applyAlignment="1" applyProtection="1">
      <alignment horizontal="center" vertical="center" wrapText="1"/>
    </xf>
    <xf numFmtId="0" fontId="9" fillId="6" borderId="48" xfId="4" applyNumberFormat="1" applyFont="1" applyFill="1" applyBorder="1" applyAlignment="1" applyProtection="1">
      <alignment horizontal="center" vertical="center" wrapText="1"/>
    </xf>
    <xf numFmtId="4" fontId="9" fillId="6" borderId="48" xfId="4" applyNumberFormat="1" applyFont="1" applyFill="1" applyBorder="1" applyAlignment="1" applyProtection="1">
      <alignment horizontal="right" vertical="center" wrapText="1"/>
    </xf>
    <xf numFmtId="4" fontId="9" fillId="6" borderId="48" xfId="4" applyNumberFormat="1" applyFont="1" applyFill="1" applyBorder="1" applyAlignment="1">
      <alignment horizontal="right" vertical="center" wrapText="1"/>
    </xf>
    <xf numFmtId="3" fontId="9" fillId="6" borderId="49" xfId="4" applyNumberFormat="1" applyFont="1" applyFill="1" applyBorder="1" applyAlignment="1">
      <alignment horizontal="left" vertical="center" wrapText="1"/>
    </xf>
    <xf numFmtId="0" fontId="9" fillId="6" borderId="49" xfId="6" applyFont="1" applyFill="1" applyBorder="1" applyAlignment="1">
      <alignment horizontal="center" vertical="center" wrapText="1"/>
    </xf>
    <xf numFmtId="0" fontId="9" fillId="6" borderId="49" xfId="4" applyFont="1" applyFill="1" applyBorder="1" applyAlignment="1">
      <alignment horizontal="center" vertical="center" wrapText="1"/>
    </xf>
    <xf numFmtId="4" fontId="9" fillId="6" borderId="49" xfId="4" applyNumberFormat="1" applyFont="1" applyFill="1" applyBorder="1" applyAlignment="1">
      <alignment horizontal="right" vertical="center" wrapText="1"/>
    </xf>
    <xf numFmtId="3" fontId="9" fillId="6" borderId="6" xfId="4" applyNumberFormat="1" applyFont="1" applyFill="1" applyBorder="1" applyAlignment="1">
      <alignment horizontal="left" vertical="center" wrapText="1"/>
    </xf>
    <xf numFmtId="0" fontId="9" fillId="6" borderId="48" xfId="6" applyFont="1" applyFill="1" applyBorder="1" applyAlignment="1">
      <alignment horizontal="center" vertical="center" wrapText="1"/>
    </xf>
    <xf numFmtId="0" fontId="9" fillId="6" borderId="48" xfId="4" applyFont="1" applyFill="1" applyBorder="1" applyAlignment="1">
      <alignment horizontal="center" vertical="center" wrapText="1"/>
    </xf>
    <xf numFmtId="3" fontId="9" fillId="7" borderId="48" xfId="4" applyNumberFormat="1" applyFont="1" applyFill="1" applyBorder="1" applyAlignment="1">
      <alignment horizontal="left" vertical="center" wrapText="1"/>
    </xf>
    <xf numFmtId="0" fontId="9" fillId="7" borderId="48" xfId="4" applyFont="1" applyFill="1" applyBorder="1" applyAlignment="1">
      <alignment horizontal="center" vertical="center" wrapText="1"/>
    </xf>
    <xf numFmtId="2" fontId="9" fillId="7" borderId="48" xfId="4" applyNumberFormat="1" applyFont="1" applyFill="1" applyBorder="1" applyAlignment="1">
      <alignment vertical="center" wrapText="1"/>
    </xf>
    <xf numFmtId="3" fontId="0" fillId="0" borderId="48" xfId="6" applyNumberFormat="1" applyFont="1" applyFill="1" applyBorder="1" applyAlignment="1" applyProtection="1">
      <alignment horizontal="left" vertical="center" wrapText="1"/>
    </xf>
    <xf numFmtId="0" fontId="0" fillId="0" borderId="48" xfId="6" applyFont="1" applyBorder="1" applyAlignment="1">
      <alignment horizontal="center" vertical="center" wrapText="1"/>
    </xf>
    <xf numFmtId="164" fontId="9" fillId="6" borderId="48" xfId="7" applyFont="1" applyFill="1" applyBorder="1" applyAlignment="1">
      <alignment vertical="center"/>
    </xf>
    <xf numFmtId="2" fontId="9" fillId="6" borderId="8" xfId="6" applyNumberFormat="1" applyFont="1" applyFill="1" applyBorder="1" applyAlignment="1">
      <alignment horizontal="right" vertical="center" wrapText="1"/>
    </xf>
    <xf numFmtId="3" fontId="0" fillId="0" borderId="49" xfId="6" applyNumberFormat="1" applyFont="1" applyFill="1" applyBorder="1" applyAlignment="1" applyProtection="1">
      <alignment horizontal="left" vertical="center" wrapText="1"/>
    </xf>
    <xf numFmtId="0" fontId="0" fillId="0" borderId="49" xfId="6" applyFont="1" applyBorder="1" applyAlignment="1">
      <alignment horizontal="center" vertical="center" wrapText="1"/>
    </xf>
    <xf numFmtId="164" fontId="9" fillId="6" borderId="49" xfId="7" applyFont="1" applyFill="1" applyBorder="1" applyAlignment="1">
      <alignment vertical="center"/>
    </xf>
    <xf numFmtId="165" fontId="35" fillId="0" borderId="49" xfId="1" applyNumberFormat="1" applyFont="1" applyFill="1" applyBorder="1" applyAlignment="1">
      <alignment vertical="center"/>
    </xf>
    <xf numFmtId="2" fontId="9" fillId="6" borderId="49" xfId="6" applyNumberFormat="1" applyFont="1" applyFill="1" applyBorder="1" applyAlignment="1">
      <alignment horizontal="right" vertical="center" wrapText="1"/>
    </xf>
    <xf numFmtId="4" fontId="9" fillId="6" borderId="49" xfId="6" applyNumberFormat="1" applyFont="1" applyFill="1" applyBorder="1" applyAlignment="1">
      <alignment horizontal="right" vertical="center" wrapText="1"/>
    </xf>
    <xf numFmtId="2" fontId="9" fillId="7" borderId="49" xfId="4" applyNumberFormat="1" applyFont="1" applyFill="1" applyBorder="1" applyAlignment="1">
      <alignment vertical="center" wrapText="1"/>
    </xf>
    <xf numFmtId="4" fontId="9" fillId="6" borderId="48" xfId="6" applyNumberFormat="1" applyFont="1" applyFill="1" applyBorder="1" applyAlignment="1">
      <alignment horizontal="right" vertical="center" wrapText="1"/>
    </xf>
    <xf numFmtId="0" fontId="11" fillId="5" borderId="19" xfId="4" applyFont="1" applyFill="1" applyBorder="1" applyAlignment="1">
      <alignment horizontal="center" vertical="center" wrapText="1"/>
    </xf>
    <xf numFmtId="0" fontId="11" fillId="5" borderId="19" xfId="4" applyFont="1" applyFill="1" applyBorder="1" applyAlignment="1">
      <alignment vertical="center" wrapText="1"/>
    </xf>
    <xf numFmtId="0" fontId="5" fillId="0" borderId="0" xfId="0" applyFont="1" applyBorder="1" applyAlignment="1">
      <alignment horizontal="left" vertical="center" wrapText="1"/>
    </xf>
    <xf numFmtId="0" fontId="0" fillId="0" borderId="48" xfId="0" applyFill="1" applyBorder="1" applyAlignment="1">
      <alignment horizontal="right" vertical="center"/>
    </xf>
    <xf numFmtId="0" fontId="9" fillId="6" borderId="49" xfId="4" applyNumberFormat="1" applyFont="1" applyFill="1" applyBorder="1" applyAlignment="1" applyProtection="1">
      <alignment horizontal="center" vertical="center" wrapText="1"/>
    </xf>
    <xf numFmtId="4" fontId="9" fillId="0" borderId="49" xfId="4" applyNumberFormat="1" applyFont="1" applyFill="1" applyBorder="1" applyAlignment="1">
      <alignment horizontal="right" vertical="center" wrapText="1"/>
    </xf>
    <xf numFmtId="3" fontId="9" fillId="6" borderId="48" xfId="4" applyNumberFormat="1" applyFont="1" applyFill="1" applyBorder="1" applyAlignment="1">
      <alignment horizontal="center" vertical="center" wrapText="1"/>
    </xf>
    <xf numFmtId="4" fontId="9" fillId="0" borderId="48" xfId="4" applyNumberFormat="1" applyFont="1" applyFill="1" applyBorder="1" applyAlignment="1">
      <alignment horizontal="right" vertical="center" wrapText="1"/>
    </xf>
    <xf numFmtId="0" fontId="9" fillId="7" borderId="8" xfId="4" applyFont="1" applyFill="1" applyBorder="1" applyAlignment="1">
      <alignment vertical="center" wrapText="1"/>
    </xf>
    <xf numFmtId="0" fontId="0" fillId="0" borderId="0" xfId="0"/>
    <xf numFmtId="0" fontId="4" fillId="0" borderId="0" xfId="0" applyFont="1" applyFill="1" applyBorder="1" applyAlignment="1">
      <alignment horizontal="left" vertical="center"/>
    </xf>
    <xf numFmtId="0" fontId="0" fillId="0" borderId="49" xfId="3" applyFont="1" applyFill="1" applyBorder="1" applyAlignment="1">
      <alignment horizontal="center" vertical="center" wrapText="1"/>
    </xf>
    <xf numFmtId="3" fontId="9" fillId="6" borderId="6" xfId="4" applyNumberFormat="1" applyFont="1" applyFill="1" applyBorder="1" applyAlignment="1" applyProtection="1">
      <alignment horizontal="left" vertical="center" wrapText="1"/>
    </xf>
    <xf numFmtId="0" fontId="0" fillId="0" borderId="6" xfId="3" applyFont="1" applyFill="1" applyBorder="1" applyAlignment="1">
      <alignment horizontal="center" vertical="center" wrapText="1"/>
    </xf>
    <xf numFmtId="0" fontId="0" fillId="0" borderId="0" xfId="0"/>
    <xf numFmtId="0" fontId="26" fillId="0" borderId="48" xfId="0" applyFont="1" applyBorder="1" applyAlignment="1">
      <alignment horizontal="justify" vertical="center"/>
    </xf>
    <xf numFmtId="0" fontId="26" fillId="0" borderId="48" xfId="0" applyFont="1" applyBorder="1" applyAlignment="1">
      <alignment horizontal="left" vertical="center" wrapText="1"/>
    </xf>
    <xf numFmtId="0" fontId="26" fillId="0" borderId="8" xfId="0" applyFont="1" applyBorder="1" applyAlignment="1">
      <alignment horizontal="left" vertical="center" wrapText="1"/>
    </xf>
    <xf numFmtId="0" fontId="26" fillId="0" borderId="49" xfId="0" applyFont="1" applyBorder="1" applyAlignment="1">
      <alignment horizontal="left" vertical="center" wrapText="1"/>
    </xf>
    <xf numFmtId="3" fontId="11" fillId="5" borderId="18" xfId="4" applyNumberFormat="1" applyFont="1" applyFill="1" applyBorder="1" applyAlignment="1">
      <alignment horizontal="left" vertical="center" wrapText="1"/>
    </xf>
    <xf numFmtId="0" fontId="11" fillId="5" borderId="18" xfId="4" applyFont="1" applyFill="1" applyBorder="1" applyAlignment="1">
      <alignment horizontal="center" vertical="center" wrapText="1"/>
    </xf>
    <xf numFmtId="0" fontId="11" fillId="5" borderId="18" xfId="4" applyFont="1" applyFill="1" applyBorder="1" applyAlignment="1">
      <alignment vertical="center" wrapText="1"/>
    </xf>
    <xf numFmtId="4" fontId="11" fillId="5" borderId="18" xfId="4" applyNumberFormat="1" applyFont="1" applyFill="1" applyBorder="1" applyAlignment="1">
      <alignment vertical="center" wrapText="1"/>
    </xf>
    <xf numFmtId="0" fontId="26" fillId="0" borderId="48"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49" xfId="0" applyFont="1" applyFill="1" applyBorder="1" applyAlignment="1">
      <alignment horizontal="left" vertical="center" wrapText="1"/>
    </xf>
    <xf numFmtId="0" fontId="22" fillId="0" borderId="0" xfId="0" applyFont="1"/>
    <xf numFmtId="3" fontId="11" fillId="5" borderId="19" xfId="4" applyNumberFormat="1" applyFont="1" applyFill="1" applyBorder="1" applyAlignment="1">
      <alignment horizontal="left" vertical="center" wrapText="1"/>
    </xf>
    <xf numFmtId="4" fontId="11" fillId="5" borderId="19" xfId="4" applyNumberFormat="1" applyFont="1" applyFill="1" applyBorder="1" applyAlignment="1">
      <alignment vertical="center" wrapText="1"/>
    </xf>
    <xf numFmtId="0" fontId="9" fillId="6" borderId="50" xfId="6" applyFont="1" applyFill="1" applyBorder="1" applyAlignment="1">
      <alignment horizontal="center" vertical="center" wrapText="1"/>
    </xf>
    <xf numFmtId="0" fontId="9" fillId="6" borderId="51" xfId="6" applyFont="1" applyFill="1" applyBorder="1" applyAlignment="1">
      <alignment horizontal="center" vertical="center" wrapText="1"/>
    </xf>
    <xf numFmtId="0" fontId="9" fillId="6" borderId="52" xfId="6" applyFont="1" applyFill="1" applyBorder="1" applyAlignment="1">
      <alignment horizontal="center" vertical="center" wrapText="1"/>
    </xf>
    <xf numFmtId="4" fontId="9" fillId="0" borderId="6" xfId="4" applyNumberFormat="1" applyFont="1" applyFill="1" applyBorder="1" applyAlignment="1">
      <alignment horizontal="right" vertical="center" wrapText="1"/>
    </xf>
    <xf numFmtId="164" fontId="9" fillId="0" borderId="8" xfId="7" applyNumberFormat="1" applyFont="1" applyFill="1" applyBorder="1" applyAlignment="1" applyProtection="1">
      <alignment horizontal="right" vertical="center" wrapText="1"/>
    </xf>
    <xf numFmtId="4" fontId="9" fillId="0" borderId="49" xfId="6" applyNumberFormat="1" applyFont="1" applyFill="1" applyBorder="1" applyAlignment="1">
      <alignment horizontal="right" vertical="center" wrapText="1"/>
    </xf>
    <xf numFmtId="4" fontId="9" fillId="0" borderId="48" xfId="6" applyNumberFormat="1" applyFont="1" applyFill="1" applyBorder="1" applyAlignment="1">
      <alignment horizontal="right" vertical="center" wrapText="1"/>
    </xf>
    <xf numFmtId="164" fontId="9" fillId="0" borderId="8" xfId="7" applyFont="1" applyFill="1" applyBorder="1" applyAlignment="1">
      <alignment vertical="center"/>
    </xf>
    <xf numFmtId="164" fontId="9" fillId="0" borderId="8" xfId="7" applyNumberFormat="1" applyFont="1" applyFill="1" applyBorder="1" applyAlignment="1">
      <alignment vertical="center"/>
    </xf>
    <xf numFmtId="2" fontId="9" fillId="0" borderId="8" xfId="4" applyNumberFormat="1" applyFont="1" applyFill="1" applyBorder="1" applyAlignment="1">
      <alignment horizontal="right" vertical="center" wrapText="1"/>
    </xf>
    <xf numFmtId="0" fontId="9" fillId="0" borderId="48" xfId="8" applyNumberFormat="1" applyFont="1" applyFill="1" applyBorder="1" applyAlignment="1">
      <alignment horizontal="right" vertical="center" wrapText="1"/>
    </xf>
    <xf numFmtId="2" fontId="9" fillId="0" borderId="8" xfId="4" applyNumberFormat="1" applyFont="1" applyFill="1" applyBorder="1" applyAlignment="1" applyProtection="1">
      <alignment horizontal="right" vertical="center" wrapText="1"/>
    </xf>
    <xf numFmtId="4" fontId="12" fillId="0" borderId="6" xfId="0" applyNumberFormat="1" applyFont="1" applyFill="1" applyBorder="1" applyAlignment="1">
      <alignment horizontal="left" vertical="center" wrapText="1"/>
    </xf>
    <xf numFmtId="0" fontId="40" fillId="0" borderId="8" xfId="0" applyFont="1" applyBorder="1" applyAlignment="1">
      <alignment horizontal="left" wrapText="1"/>
    </xf>
    <xf numFmtId="0" fontId="9" fillId="7" borderId="49" xfId="4" applyFont="1" applyFill="1" applyBorder="1" applyAlignment="1">
      <alignment horizontal="center" vertical="center" wrapText="1"/>
    </xf>
    <xf numFmtId="0" fontId="0" fillId="0" borderId="0" xfId="0"/>
    <xf numFmtId="0" fontId="9" fillId="0" borderId="8" xfId="4" applyFont="1" applyFill="1" applyBorder="1" applyAlignment="1">
      <alignment horizontal="center" vertical="center" wrapText="1"/>
    </xf>
    <xf numFmtId="0" fontId="9" fillId="0" borderId="49" xfId="6" applyFont="1" applyFill="1" applyBorder="1" applyAlignment="1">
      <alignment horizontal="center" vertical="center" wrapText="1"/>
    </xf>
    <xf numFmtId="0" fontId="9" fillId="0" borderId="6" xfId="4" applyFont="1" applyFill="1" applyBorder="1" applyAlignment="1">
      <alignment horizontal="center" vertical="center" wrapText="1"/>
    </xf>
    <xf numFmtId="3" fontId="9" fillId="0" borderId="48" xfId="4" applyNumberFormat="1" applyFont="1" applyFill="1" applyBorder="1" applyAlignment="1">
      <alignment horizontal="center" vertical="center" wrapText="1"/>
    </xf>
    <xf numFmtId="0" fontId="17" fillId="0" borderId="48" xfId="0" applyFont="1" applyFill="1" applyBorder="1" applyAlignment="1">
      <alignment horizontal="center" vertical="center" wrapText="1"/>
    </xf>
    <xf numFmtId="0" fontId="0" fillId="0" borderId="8" xfId="0" applyFill="1" applyBorder="1" applyAlignment="1">
      <alignment horizontal="center" vertical="center" wrapText="1"/>
    </xf>
    <xf numFmtId="0" fontId="0" fillId="0" borderId="49" xfId="0" applyFill="1" applyBorder="1" applyAlignment="1">
      <alignment horizontal="center" vertical="center" wrapText="1"/>
    </xf>
    <xf numFmtId="0" fontId="9" fillId="0" borderId="8" xfId="6" applyFont="1" applyFill="1" applyBorder="1" applyAlignment="1">
      <alignment horizontal="left" vertical="center" wrapText="1"/>
    </xf>
    <xf numFmtId="0" fontId="9" fillId="0" borderId="48" xfId="6" applyFont="1" applyFill="1" applyBorder="1" applyAlignment="1">
      <alignment horizontal="center" vertical="center" wrapText="1"/>
    </xf>
    <xf numFmtId="0" fontId="9" fillId="0" borderId="48" xfId="4" applyFont="1" applyFill="1" applyBorder="1" applyAlignment="1">
      <alignment horizontal="center" vertical="center" wrapText="1"/>
    </xf>
    <xf numFmtId="1" fontId="9" fillId="0" borderId="8" xfId="4" applyNumberFormat="1" applyFont="1" applyFill="1" applyBorder="1" applyAlignment="1">
      <alignment horizontal="center" vertical="center" wrapText="1"/>
    </xf>
    <xf numFmtId="0" fontId="9" fillId="0" borderId="49" xfId="4" applyFont="1" applyFill="1" applyBorder="1" applyAlignment="1">
      <alignment horizontal="center" vertical="center" wrapText="1"/>
    </xf>
    <xf numFmtId="0" fontId="0" fillId="0" borderId="48" xfId="6" applyFont="1" applyFill="1" applyBorder="1" applyAlignment="1">
      <alignment horizontal="center" vertical="center" wrapText="1"/>
    </xf>
    <xf numFmtId="0" fontId="0" fillId="0" borderId="8" xfId="6" applyFont="1" applyFill="1" applyBorder="1" applyAlignment="1">
      <alignment horizontal="center" vertical="center" wrapText="1"/>
    </xf>
    <xf numFmtId="0" fontId="0" fillId="0" borderId="49" xfId="6" applyFont="1" applyFill="1" applyBorder="1" applyAlignment="1">
      <alignment horizontal="center" vertical="center" wrapText="1"/>
    </xf>
    <xf numFmtId="4" fontId="12" fillId="0" borderId="49" xfId="0" applyNumberFormat="1" applyFont="1" applyFill="1" applyBorder="1" applyAlignment="1">
      <alignment horizontal="left" vertical="center" wrapText="1"/>
    </xf>
    <xf numFmtId="4" fontId="12" fillId="0" borderId="8" xfId="0" applyNumberFormat="1" applyFont="1" applyFill="1" applyBorder="1" applyAlignment="1">
      <alignment horizontal="left" vertical="center" wrapText="1"/>
    </xf>
    <xf numFmtId="0" fontId="11" fillId="9" borderId="54" xfId="4" applyFont="1" applyFill="1" applyBorder="1" applyAlignment="1">
      <alignment horizontal="right" vertical="center"/>
    </xf>
    <xf numFmtId="4" fontId="11" fillId="9" borderId="54" xfId="4" applyNumberFormat="1" applyFont="1" applyFill="1" applyBorder="1" applyAlignment="1">
      <alignment horizontal="right" vertical="center"/>
    </xf>
    <xf numFmtId="166" fontId="0" fillId="0" borderId="12" xfId="0" applyNumberFormat="1" applyBorder="1"/>
    <xf numFmtId="0" fontId="27" fillId="0" borderId="6" xfId="0" applyFont="1" applyFill="1" applyBorder="1" applyAlignment="1">
      <alignment horizontal="left"/>
    </xf>
    <xf numFmtId="0" fontId="0" fillId="0" borderId="0" xfId="0"/>
    <xf numFmtId="0" fontId="0" fillId="0" borderId="8" xfId="0" applyBorder="1" applyAlignment="1">
      <alignment horizontal="left" vertical="center"/>
    </xf>
    <xf numFmtId="0" fontId="0" fillId="0" borderId="0" xfId="0"/>
    <xf numFmtId="0" fontId="17" fillId="0" borderId="8" xfId="0" applyFont="1" applyFill="1" applyBorder="1" applyAlignment="1">
      <alignment horizontal="center" vertical="center" wrapText="1"/>
    </xf>
    <xf numFmtId="0" fontId="9" fillId="0" borderId="8" xfId="5" applyNumberFormat="1" applyFont="1" applyFill="1" applyBorder="1" applyAlignment="1" applyProtection="1">
      <alignment horizontal="center" vertical="center" wrapText="1"/>
    </xf>
    <xf numFmtId="4" fontId="9" fillId="6" borderId="8" xfId="4" applyNumberFormat="1" applyFont="1" applyFill="1" applyBorder="1" applyAlignment="1" applyProtection="1">
      <alignment horizontal="right" vertical="center" wrapText="1"/>
    </xf>
    <xf numFmtId="3" fontId="9" fillId="7" borderId="8" xfId="4" applyNumberFormat="1" applyFont="1" applyFill="1" applyBorder="1" applyAlignment="1">
      <alignment horizontal="left" vertical="center" wrapText="1"/>
    </xf>
    <xf numFmtId="3" fontId="9" fillId="7" borderId="49" xfId="4" applyNumberFormat="1" applyFont="1" applyFill="1" applyBorder="1" applyAlignment="1">
      <alignment horizontal="left" vertical="center" wrapText="1"/>
    </xf>
    <xf numFmtId="0" fontId="0" fillId="0" borderId="0" xfId="0"/>
    <xf numFmtId="0" fontId="0" fillId="0" borderId="0" xfId="0"/>
    <xf numFmtId="0" fontId="12" fillId="0" borderId="0" xfId="4" applyFont="1" applyBorder="1" applyAlignment="1">
      <alignment vertical="center"/>
    </xf>
    <xf numFmtId="0" fontId="12" fillId="0" borderId="2" xfId="4" applyFont="1" applyBorder="1" applyAlignment="1">
      <alignment vertical="center"/>
    </xf>
    <xf numFmtId="4" fontId="14" fillId="0" borderId="0" xfId="4" applyNumberFormat="1" applyFont="1" applyBorder="1" applyAlignment="1">
      <alignment vertical="center"/>
    </xf>
    <xf numFmtId="4" fontId="0" fillId="0" borderId="0" xfId="4" applyNumberFormat="1" applyFont="1" applyBorder="1" applyAlignment="1">
      <alignment vertical="center"/>
    </xf>
    <xf numFmtId="4" fontId="12" fillId="0" borderId="0" xfId="4" applyNumberFormat="1" applyFont="1" applyBorder="1" applyAlignment="1">
      <alignment vertical="center"/>
    </xf>
    <xf numFmtId="0" fontId="26" fillId="6" borderId="8" xfId="0" applyFont="1" applyFill="1" applyBorder="1" applyAlignment="1">
      <alignment horizontal="left" vertical="center" wrapText="1"/>
    </xf>
    <xf numFmtId="0" fontId="26" fillId="6" borderId="49" xfId="0" applyFont="1" applyFill="1" applyBorder="1" applyAlignment="1">
      <alignment horizontal="left" vertical="center" wrapText="1"/>
    </xf>
    <xf numFmtId="0" fontId="26" fillId="6" borderId="48" xfId="0" applyFont="1" applyFill="1" applyBorder="1" applyAlignment="1">
      <alignment horizontal="left" vertical="center" wrapText="1"/>
    </xf>
    <xf numFmtId="2" fontId="9" fillId="6" borderId="48" xfId="4" applyNumberFormat="1" applyFont="1" applyFill="1" applyBorder="1" applyAlignment="1">
      <alignment vertical="center" wrapText="1"/>
    </xf>
    <xf numFmtId="2" fontId="9" fillId="6" borderId="8" xfId="4" applyNumberFormat="1" applyFont="1" applyFill="1" applyBorder="1" applyAlignment="1">
      <alignment horizontal="right" vertical="center" wrapText="1"/>
    </xf>
    <xf numFmtId="2" fontId="9" fillId="6" borderId="8" xfId="4" applyNumberFormat="1" applyFont="1" applyFill="1" applyBorder="1" applyAlignment="1">
      <alignment vertical="center" wrapText="1"/>
    </xf>
    <xf numFmtId="2" fontId="9" fillId="6" borderId="49" xfId="4" applyNumberFormat="1" applyFont="1" applyFill="1" applyBorder="1" applyAlignment="1">
      <alignment vertical="center" wrapText="1"/>
    </xf>
    <xf numFmtId="0" fontId="11" fillId="5" borderId="53" xfId="4" applyFont="1" applyFill="1" applyBorder="1" applyAlignment="1">
      <alignment vertical="center" wrapText="1"/>
    </xf>
    <xf numFmtId="0" fontId="11" fillId="3" borderId="35" xfId="4" applyFont="1" applyFill="1" applyBorder="1" applyAlignment="1">
      <alignment horizontal="center" vertical="center"/>
    </xf>
    <xf numFmtId="0" fontId="0" fillId="0" borderId="0" xfId="0"/>
    <xf numFmtId="0" fontId="0" fillId="0" borderId="6" xfId="0" applyBorder="1" applyAlignment="1">
      <alignment horizontal="center"/>
    </xf>
    <xf numFmtId="4" fontId="11" fillId="5" borderId="12" xfId="4" applyNumberFormat="1" applyFont="1" applyFill="1" applyBorder="1" applyAlignment="1">
      <alignment vertical="center" wrapText="1"/>
    </xf>
    <xf numFmtId="0" fontId="0" fillId="0" borderId="6" xfId="0" applyBorder="1" applyAlignment="1">
      <alignment vertical="center" wrapText="1"/>
    </xf>
    <xf numFmtId="0" fontId="0" fillId="0" borderId="6" xfId="0" applyFill="1" applyBorder="1" applyAlignment="1">
      <alignment vertical="center" wrapText="1"/>
    </xf>
    <xf numFmtId="0" fontId="28" fillId="12" borderId="6" xfId="0" applyFont="1" applyFill="1" applyBorder="1" applyAlignment="1">
      <alignment horizontal="center"/>
    </xf>
    <xf numFmtId="0" fontId="28" fillId="12" borderId="6" xfId="0" applyFont="1" applyFill="1" applyBorder="1" applyAlignment="1">
      <alignment horizontal="center"/>
    </xf>
    <xf numFmtId="0" fontId="0" fillId="0" borderId="0" xfId="0" applyAlignment="1">
      <alignment horizontal="center"/>
    </xf>
    <xf numFmtId="0" fontId="0" fillId="0" borderId="0" xfId="0" applyAlignment="1">
      <alignment horizontal="left" wrapText="1"/>
    </xf>
    <xf numFmtId="0" fontId="0" fillId="0" borderId="0" xfId="0" applyAlignment="1">
      <alignment horizontal="center" vertical="center"/>
    </xf>
    <xf numFmtId="0" fontId="0" fillId="0" borderId="6" xfId="0" applyFill="1" applyBorder="1" applyAlignment="1">
      <alignment horizontal="right" vertical="center"/>
    </xf>
    <xf numFmtId="166" fontId="0" fillId="0" borderId="0" xfId="0" applyNumberFormat="1"/>
    <xf numFmtId="0" fontId="0" fillId="0" borderId="6" xfId="0" applyBorder="1" applyAlignment="1">
      <alignment horizontal="left" vertical="center" wrapText="1"/>
    </xf>
    <xf numFmtId="0" fontId="9" fillId="6" borderId="6" xfId="4" applyNumberFormat="1" applyFont="1" applyFill="1" applyBorder="1" applyAlignment="1" applyProtection="1">
      <alignment horizontal="center" vertical="center" wrapText="1"/>
    </xf>
    <xf numFmtId="167" fontId="9" fillId="0" borderId="49" xfId="4" applyNumberFormat="1" applyFont="1" applyFill="1" applyBorder="1" applyAlignment="1" applyProtection="1">
      <alignment horizontal="right" vertical="center" wrapText="1"/>
    </xf>
    <xf numFmtId="0" fontId="0" fillId="0" borderId="0" xfId="0"/>
    <xf numFmtId="0" fontId="9" fillId="0" borderId="0" xfId="10"/>
    <xf numFmtId="165" fontId="9" fillId="0" borderId="0" xfId="11" applyNumberFormat="1"/>
    <xf numFmtId="165" fontId="11" fillId="0" borderId="0" xfId="11" applyNumberFormat="1" applyFont="1" applyFill="1" applyBorder="1"/>
    <xf numFmtId="0" fontId="9" fillId="0" borderId="0" xfId="10" applyBorder="1"/>
    <xf numFmtId="0" fontId="9" fillId="0" borderId="0" xfId="10" applyAlignment="1"/>
    <xf numFmtId="165" fontId="9" fillId="0" borderId="0" xfId="11" applyNumberFormat="1" applyFont="1" applyFill="1" applyBorder="1" applyAlignment="1"/>
    <xf numFmtId="165" fontId="42" fillId="0" borderId="0" xfId="11" applyNumberFormat="1" applyFont="1" applyFill="1" applyBorder="1" applyAlignment="1"/>
    <xf numFmtId="165" fontId="42" fillId="0" borderId="0" xfId="11" applyNumberFormat="1" applyFont="1" applyAlignment="1"/>
    <xf numFmtId="165" fontId="5" fillId="0" borderId="0" xfId="11" applyNumberFormat="1" applyFont="1" applyFill="1" applyBorder="1" applyAlignment="1"/>
    <xf numFmtId="165" fontId="11" fillId="0" borderId="0" xfId="11" applyNumberFormat="1" applyFont="1" applyFill="1" applyBorder="1" applyAlignment="1"/>
    <xf numFmtId="165" fontId="9" fillId="0" borderId="0" xfId="10" applyNumberFormat="1"/>
    <xf numFmtId="10" fontId="9" fillId="0" borderId="0" xfId="11" applyNumberFormat="1" applyFill="1" applyBorder="1"/>
    <xf numFmtId="9" fontId="11" fillId="0" borderId="0" xfId="12" applyNumberFormat="1" applyFont="1" applyFill="1" applyBorder="1" applyAlignment="1">
      <alignment horizontal="center"/>
    </xf>
    <xf numFmtId="0" fontId="11" fillId="0" borderId="0" xfId="10" applyFont="1" applyFill="1" applyBorder="1" applyAlignment="1">
      <alignment horizontal="left"/>
    </xf>
    <xf numFmtId="10" fontId="52" fillId="22" borderId="6" xfId="12" applyNumberFormat="1" applyFont="1" applyFill="1" applyBorder="1"/>
    <xf numFmtId="165" fontId="52" fillId="22" borderId="6" xfId="11" applyNumberFormat="1" applyFont="1" applyFill="1" applyBorder="1"/>
    <xf numFmtId="10" fontId="52" fillId="22" borderId="6" xfId="11" applyNumberFormat="1" applyFont="1" applyFill="1" applyBorder="1"/>
    <xf numFmtId="9" fontId="52" fillId="22" borderId="6" xfId="12" applyNumberFormat="1" applyFont="1" applyFill="1" applyBorder="1" applyAlignment="1">
      <alignment horizontal="center"/>
    </xf>
    <xf numFmtId="165" fontId="52" fillId="22" borderId="6" xfId="11" applyNumberFormat="1" applyFont="1" applyFill="1" applyBorder="1" applyAlignment="1">
      <alignment horizontal="right"/>
    </xf>
    <xf numFmtId="10" fontId="53" fillId="23" borderId="6" xfId="12" applyNumberFormat="1" applyFont="1" applyFill="1" applyBorder="1"/>
    <xf numFmtId="165" fontId="53" fillId="23" borderId="6" xfId="11" applyNumberFormat="1" applyFont="1" applyFill="1" applyBorder="1"/>
    <xf numFmtId="10" fontId="53" fillId="23" borderId="6" xfId="11" applyNumberFormat="1" applyFont="1" applyFill="1" applyBorder="1"/>
    <xf numFmtId="165" fontId="52" fillId="23" borderId="6" xfId="11" applyNumberFormat="1" applyFont="1" applyFill="1" applyBorder="1" applyAlignment="1">
      <alignment horizontal="right"/>
    </xf>
    <xf numFmtId="9" fontId="53" fillId="22" borderId="6" xfId="12" applyFont="1" applyFill="1" applyBorder="1" applyAlignment="1">
      <alignment horizontal="center"/>
    </xf>
    <xf numFmtId="165" fontId="53" fillId="22" borderId="6" xfId="11" applyNumberFormat="1" applyFont="1" applyFill="1" applyBorder="1"/>
    <xf numFmtId="9" fontId="53" fillId="0" borderId="6" xfId="12" applyFont="1" applyFill="1" applyBorder="1" applyAlignment="1">
      <alignment horizontal="center"/>
    </xf>
    <xf numFmtId="165" fontId="53" fillId="0" borderId="6" xfId="11" applyNumberFormat="1" applyFont="1" applyFill="1" applyBorder="1"/>
    <xf numFmtId="10" fontId="53" fillId="0" borderId="6" xfId="12" applyNumberFormat="1" applyFont="1" applyFill="1" applyBorder="1" applyAlignment="1">
      <alignment horizontal="center"/>
    </xf>
    <xf numFmtId="165" fontId="53" fillId="23" borderId="6" xfId="11" applyNumberFormat="1" applyFont="1" applyFill="1" applyBorder="1" applyAlignment="1">
      <alignment horizontal="right"/>
    </xf>
    <xf numFmtId="3" fontId="9" fillId="6" borderId="8" xfId="4" applyNumberFormat="1" applyFont="1" applyFill="1" applyBorder="1" applyAlignment="1">
      <alignment horizontal="center" vertical="center" wrapText="1"/>
    </xf>
    <xf numFmtId="9" fontId="53" fillId="23" borderId="6" xfId="12" applyFont="1" applyFill="1" applyBorder="1" applyAlignment="1">
      <alignment horizontal="center"/>
    </xf>
    <xf numFmtId="0" fontId="55" fillId="0" borderId="0" xfId="10" applyFont="1" applyAlignment="1"/>
    <xf numFmtId="165" fontId="61" fillId="22" borderId="6" xfId="11" applyNumberFormat="1" applyFont="1" applyFill="1" applyBorder="1"/>
    <xf numFmtId="9" fontId="61" fillId="22" borderId="6" xfId="12" applyFont="1" applyFill="1" applyBorder="1" applyAlignment="1">
      <alignment horizontal="center"/>
    </xf>
    <xf numFmtId="165" fontId="53" fillId="6" borderId="6" xfId="11" applyNumberFormat="1" applyFont="1" applyFill="1" applyBorder="1" applyAlignment="1">
      <alignment horizontal="right"/>
    </xf>
    <xf numFmtId="10" fontId="53" fillId="6" borderId="6" xfId="12" applyNumberFormat="1" applyFont="1" applyFill="1" applyBorder="1" applyAlignment="1">
      <alignment horizontal="center"/>
    </xf>
    <xf numFmtId="165" fontId="53" fillId="6" borderId="6" xfId="11" applyNumberFormat="1" applyFont="1" applyFill="1" applyBorder="1"/>
    <xf numFmtId="9" fontId="53" fillId="6" borderId="6" xfId="12" applyFont="1" applyFill="1" applyBorder="1" applyAlignment="1">
      <alignment horizontal="center"/>
    </xf>
    <xf numFmtId="0" fontId="9" fillId="6" borderId="0" xfId="10" applyFill="1"/>
    <xf numFmtId="10" fontId="0" fillId="0" borderId="0" xfId="0" applyNumberFormat="1" applyBorder="1" applyAlignment="1">
      <alignment horizontal="center" vertical="center"/>
    </xf>
    <xf numFmtId="4" fontId="0" fillId="0" borderId="0" xfId="0" applyNumberFormat="1"/>
    <xf numFmtId="3" fontId="9" fillId="0" borderId="8" xfId="4" applyNumberFormat="1" applyFont="1" applyFill="1" applyBorder="1" applyAlignment="1">
      <alignment horizontal="center" vertical="center" wrapText="1"/>
    </xf>
    <xf numFmtId="0" fontId="9" fillId="0" borderId="8" xfId="8" applyNumberFormat="1" applyFont="1" applyFill="1" applyBorder="1" applyAlignment="1">
      <alignment horizontal="right" vertical="center" wrapText="1"/>
    </xf>
    <xf numFmtId="0" fontId="0" fillId="0" borderId="0" xfId="0"/>
    <xf numFmtId="0" fontId="5" fillId="0" borderId="0" xfId="0" applyFont="1" applyBorder="1" applyAlignment="1">
      <alignment horizontal="center" vertical="center" wrapText="1"/>
    </xf>
    <xf numFmtId="0" fontId="0" fillId="0" borderId="0" xfId="0"/>
    <xf numFmtId="0" fontId="0" fillId="0" borderId="0" xfId="0"/>
    <xf numFmtId="0" fontId="0" fillId="0" borderId="28" xfId="0" applyFont="1" applyBorder="1"/>
    <xf numFmtId="22" fontId="10" fillId="0" borderId="28" xfId="0" applyNumberFormat="1" applyFont="1" applyBorder="1" applyAlignment="1">
      <alignment horizontal="right"/>
    </xf>
    <xf numFmtId="4" fontId="11" fillId="3" borderId="58" xfId="4" applyNumberFormat="1" applyFont="1" applyFill="1" applyBorder="1" applyAlignment="1">
      <alignment horizontal="center" vertical="center" wrapText="1"/>
    </xf>
    <xf numFmtId="4" fontId="11" fillId="5" borderId="59" xfId="4" applyNumberFormat="1" applyFont="1" applyFill="1" applyBorder="1" applyAlignment="1">
      <alignment vertical="center" wrapText="1"/>
    </xf>
    <xf numFmtId="4" fontId="11" fillId="5" borderId="60" xfId="4" applyNumberFormat="1" applyFont="1" applyFill="1" applyBorder="1" applyAlignment="1">
      <alignment vertical="center" wrapText="1"/>
    </xf>
    <xf numFmtId="4" fontId="11" fillId="5" borderId="61" xfId="4" applyNumberFormat="1" applyFont="1" applyFill="1" applyBorder="1" applyAlignment="1">
      <alignment vertical="center" wrapText="1"/>
    </xf>
    <xf numFmtId="4" fontId="11" fillId="5" borderId="28" xfId="4" applyNumberFormat="1" applyFont="1" applyFill="1" applyBorder="1" applyAlignment="1">
      <alignment vertical="center" wrapText="1"/>
    </xf>
    <xf numFmtId="0" fontId="12" fillId="0" borderId="34" xfId="4" applyFont="1" applyBorder="1" applyAlignment="1">
      <alignment vertical="center"/>
    </xf>
    <xf numFmtId="0" fontId="12" fillId="0" borderId="28" xfId="4" applyFont="1" applyBorder="1" applyAlignment="1">
      <alignment vertical="center"/>
    </xf>
    <xf numFmtId="4" fontId="12" fillId="0" borderId="28" xfId="4" applyNumberFormat="1" applyFont="1" applyBorder="1" applyAlignment="1">
      <alignment vertical="center"/>
    </xf>
    <xf numFmtId="0" fontId="0" fillId="0" borderId="26" xfId="0" applyFont="1" applyBorder="1" applyAlignment="1">
      <alignment wrapText="1"/>
    </xf>
    <xf numFmtId="0" fontId="3" fillId="0" borderId="26" xfId="0" applyFont="1" applyBorder="1" applyAlignment="1">
      <alignment horizontal="left" vertical="center"/>
    </xf>
    <xf numFmtId="0" fontId="3" fillId="0" borderId="26" xfId="0" applyFont="1" applyBorder="1" applyAlignment="1">
      <alignment vertical="center"/>
    </xf>
    <xf numFmtId="0" fontId="0" fillId="0" borderId="26" xfId="0" applyFont="1" applyBorder="1"/>
    <xf numFmtId="0" fontId="0" fillId="0" borderId="27" xfId="0" applyFont="1" applyBorder="1"/>
    <xf numFmtId="0" fontId="0" fillId="0" borderId="28" xfId="0" applyBorder="1"/>
    <xf numFmtId="0" fontId="0" fillId="6" borderId="28" xfId="0" applyFill="1" applyBorder="1"/>
    <xf numFmtId="0" fontId="0" fillId="0" borderId="25" xfId="0" applyFont="1" applyBorder="1" applyAlignment="1">
      <alignment horizontal="center"/>
    </xf>
    <xf numFmtId="0" fontId="0" fillId="0" borderId="20" xfId="0" applyFont="1" applyBorder="1" applyAlignment="1">
      <alignment horizontal="center"/>
    </xf>
    <xf numFmtId="0" fontId="0" fillId="0" borderId="20" xfId="0" applyFont="1" applyBorder="1"/>
    <xf numFmtId="0" fontId="5" fillId="0" borderId="20" xfId="0" applyFont="1" applyBorder="1" applyAlignment="1">
      <alignment horizontal="left" vertical="center" wrapText="1"/>
    </xf>
    <xf numFmtId="0" fontId="11" fillId="3" borderId="62" xfId="4" applyFont="1" applyFill="1" applyBorder="1" applyAlignment="1">
      <alignment horizontal="center" vertical="center" wrapText="1"/>
    </xf>
    <xf numFmtId="3" fontId="11" fillId="5" borderId="63" xfId="4" applyNumberFormat="1" applyFont="1" applyFill="1" applyBorder="1" applyAlignment="1">
      <alignment horizontal="left" vertical="center" wrapText="1"/>
    </xf>
    <xf numFmtId="3" fontId="11" fillId="5" borderId="64" xfId="4" applyNumberFormat="1" applyFont="1" applyFill="1" applyBorder="1" applyAlignment="1">
      <alignment horizontal="left" vertical="center" wrapText="1"/>
    </xf>
    <xf numFmtId="3" fontId="11" fillId="5" borderId="65" xfId="4" applyNumberFormat="1" applyFont="1" applyFill="1" applyBorder="1" applyAlignment="1">
      <alignment horizontal="left" vertical="center" wrapText="1"/>
    </xf>
    <xf numFmtId="3" fontId="11" fillId="5" borderId="19" xfId="4" applyNumberFormat="1" applyFont="1" applyFill="1" applyBorder="1" applyAlignment="1" applyProtection="1">
      <alignment horizontal="left" vertical="center" wrapText="1"/>
    </xf>
    <xf numFmtId="0" fontId="12" fillId="0" borderId="41" xfId="4" applyFont="1" applyBorder="1" applyAlignment="1">
      <alignment vertical="center"/>
    </xf>
    <xf numFmtId="0" fontId="12" fillId="0" borderId="20" xfId="4" applyFont="1" applyBorder="1" applyAlignment="1">
      <alignment vertical="center"/>
    </xf>
    <xf numFmtId="0" fontId="13" fillId="0" borderId="20" xfId="4" applyFont="1" applyBorder="1" applyAlignment="1">
      <alignment vertical="center"/>
    </xf>
    <xf numFmtId="0" fontId="9" fillId="0" borderId="49" xfId="5" applyNumberFormat="1" applyFont="1" applyFill="1" applyBorder="1" applyAlignment="1" applyProtection="1">
      <alignment horizontal="center" vertical="center" wrapText="1"/>
    </xf>
    <xf numFmtId="4" fontId="9" fillId="6" borderId="49" xfId="4" applyNumberFormat="1" applyFont="1" applyFill="1" applyBorder="1" applyAlignment="1" applyProtection="1">
      <alignment horizontal="right" vertical="center" wrapText="1"/>
    </xf>
    <xf numFmtId="0" fontId="9" fillId="0" borderId="48" xfId="5" applyNumberFormat="1" applyFont="1" applyFill="1" applyBorder="1" applyAlignment="1" applyProtection="1">
      <alignment horizontal="center" vertical="center" wrapText="1"/>
    </xf>
    <xf numFmtId="0" fontId="26" fillId="0" borderId="8" xfId="0" applyFont="1" applyBorder="1" applyAlignment="1">
      <alignment horizontal="justify" vertical="center"/>
    </xf>
    <xf numFmtId="0" fontId="26" fillId="0" borderId="49" xfId="0" applyFont="1" applyBorder="1" applyAlignment="1">
      <alignment horizontal="justify" vertical="center"/>
    </xf>
    <xf numFmtId="0" fontId="26" fillId="0" borderId="8" xfId="0" applyFont="1" applyBorder="1" applyAlignment="1">
      <alignment horizontal="justify" vertical="center" wrapText="1"/>
    </xf>
    <xf numFmtId="0" fontId="26" fillId="0" borderId="6" xfId="0" applyFont="1" applyBorder="1" applyAlignment="1">
      <alignment horizontal="justify" vertical="center"/>
    </xf>
    <xf numFmtId="3" fontId="9" fillId="0" borderId="8" xfId="4" applyNumberFormat="1" applyFont="1" applyFill="1" applyBorder="1" applyAlignment="1">
      <alignment horizontal="left" vertical="center" wrapText="1"/>
    </xf>
    <xf numFmtId="3" fontId="9" fillId="0" borderId="49" xfId="4" applyNumberFormat="1" applyFont="1" applyFill="1" applyBorder="1" applyAlignment="1">
      <alignment horizontal="left" vertical="center" wrapText="1"/>
    </xf>
    <xf numFmtId="0" fontId="26" fillId="0" borderId="8" xfId="0" applyFont="1" applyFill="1" applyBorder="1" applyAlignment="1">
      <alignment horizontal="justify" vertical="center"/>
    </xf>
    <xf numFmtId="0" fontId="59" fillId="0" borderId="0" xfId="10" applyFont="1" applyBorder="1"/>
    <xf numFmtId="0" fontId="58" fillId="0" borderId="0" xfId="10" applyFont="1" applyBorder="1"/>
    <xf numFmtId="165" fontId="58" fillId="0" borderId="0" xfId="11" applyNumberFormat="1" applyFont="1" applyBorder="1"/>
    <xf numFmtId="165" fontId="9" fillId="0" borderId="0" xfId="11" applyNumberFormat="1" applyBorder="1"/>
    <xf numFmtId="0" fontId="44" fillId="0" borderId="0" xfId="10" applyFont="1" applyBorder="1" applyAlignment="1"/>
    <xf numFmtId="0" fontId="56" fillId="0" borderId="0" xfId="10" applyFont="1" applyBorder="1" applyAlignment="1"/>
    <xf numFmtId="0" fontId="50" fillId="0" borderId="0" xfId="10" applyFont="1" applyBorder="1" applyAlignment="1">
      <alignment horizontal="left"/>
    </xf>
    <xf numFmtId="0" fontId="48" fillId="0" borderId="0" xfId="10" applyFont="1" applyBorder="1" applyAlignment="1">
      <alignment horizontal="left"/>
    </xf>
    <xf numFmtId="0" fontId="47" fillId="0" borderId="0" xfId="10" applyFont="1" applyBorder="1" applyAlignment="1">
      <alignment horizontal="right"/>
    </xf>
    <xf numFmtId="0" fontId="9" fillId="0" borderId="25" xfId="10" applyBorder="1"/>
    <xf numFmtId="0" fontId="9" fillId="0" borderId="26" xfId="10" applyBorder="1"/>
    <xf numFmtId="165" fontId="9" fillId="0" borderId="26" xfId="11" applyNumberFormat="1" applyBorder="1"/>
    <xf numFmtId="0" fontId="9" fillId="0" borderId="27" xfId="10" applyBorder="1"/>
    <xf numFmtId="0" fontId="9" fillId="0" borderId="20" xfId="10" applyBorder="1"/>
    <xf numFmtId="0" fontId="9" fillId="0" borderId="28" xfId="10" applyBorder="1"/>
    <xf numFmtId="0" fontId="44" fillId="0" borderId="28" xfId="10" applyFont="1" applyBorder="1" applyAlignment="1"/>
    <xf numFmtId="0" fontId="50" fillId="0" borderId="20" xfId="10" applyFont="1" applyBorder="1" applyAlignment="1">
      <alignment horizontal="left"/>
    </xf>
    <xf numFmtId="0" fontId="48" fillId="0" borderId="20" xfId="10" applyFont="1" applyBorder="1" applyAlignment="1">
      <alignment horizontal="left"/>
    </xf>
    <xf numFmtId="0" fontId="47" fillId="0" borderId="28" xfId="10" applyFont="1" applyBorder="1" applyAlignment="1">
      <alignment horizontal="right"/>
    </xf>
    <xf numFmtId="0" fontId="9" fillId="0" borderId="21" xfId="10" applyBorder="1"/>
    <xf numFmtId="0" fontId="11" fillId="0" borderId="22" xfId="10" applyFont="1" applyFill="1" applyBorder="1" applyAlignment="1">
      <alignment horizontal="left"/>
    </xf>
    <xf numFmtId="165" fontId="11" fillId="0" borderId="22" xfId="11" applyNumberFormat="1" applyFont="1" applyFill="1" applyBorder="1"/>
    <xf numFmtId="9" fontId="11" fillId="0" borderId="22" xfId="12" applyNumberFormat="1" applyFont="1" applyFill="1" applyBorder="1" applyAlignment="1">
      <alignment horizontal="center"/>
    </xf>
    <xf numFmtId="10" fontId="9" fillId="0" borderId="22" xfId="11" applyNumberFormat="1" applyFill="1" applyBorder="1"/>
    <xf numFmtId="0" fontId="9" fillId="0" borderId="22" xfId="10" applyBorder="1"/>
    <xf numFmtId="0" fontId="9" fillId="0" borderId="23" xfId="10" applyBorder="1"/>
    <xf numFmtId="0" fontId="12" fillId="0" borderId="20" xfId="4" applyFont="1" applyBorder="1" applyAlignment="1">
      <alignment horizontal="center" vertical="center"/>
    </xf>
    <xf numFmtId="0" fontId="12" fillId="0" borderId="0" xfId="4" applyFont="1" applyBorder="1" applyAlignment="1">
      <alignment horizontal="center" vertical="center"/>
    </xf>
    <xf numFmtId="0" fontId="12" fillId="0" borderId="28" xfId="4" applyFont="1" applyBorder="1" applyAlignment="1">
      <alignment horizontal="center" vertical="center"/>
    </xf>
    <xf numFmtId="0" fontId="12" fillId="0" borderId="21" xfId="4" applyFont="1" applyBorder="1" applyAlignment="1">
      <alignment horizontal="center" vertical="center"/>
    </xf>
    <xf numFmtId="0" fontId="12" fillId="0" borderId="22" xfId="4" applyFont="1" applyBorder="1" applyAlignment="1">
      <alignment horizontal="center" vertical="center"/>
    </xf>
    <xf numFmtId="0" fontId="12" fillId="0" borderId="23" xfId="4" applyFont="1" applyBorder="1" applyAlignment="1">
      <alignment horizontal="center" vertical="center"/>
    </xf>
    <xf numFmtId="0" fontId="5" fillId="0" borderId="20" xfId="0" applyFont="1" applyBorder="1" applyAlignment="1">
      <alignment horizontal="center" vertical="center" wrapText="1"/>
    </xf>
    <xf numFmtId="0" fontId="5" fillId="0" borderId="0" xfId="0" applyFont="1" applyBorder="1" applyAlignment="1">
      <alignment horizontal="center" vertical="center" wrapText="1"/>
    </xf>
    <xf numFmtId="0" fontId="0" fillId="0" borderId="0" xfId="0"/>
    <xf numFmtId="0" fontId="11" fillId="9" borderId="55" xfId="4" applyFont="1" applyFill="1" applyBorder="1" applyAlignment="1">
      <alignment horizontal="right" vertical="center"/>
    </xf>
    <xf numFmtId="0" fontId="11" fillId="9" borderId="56" xfId="4" applyFont="1" applyFill="1" applyBorder="1" applyAlignment="1">
      <alignment horizontal="right" vertical="center"/>
    </xf>
    <xf numFmtId="0" fontId="11" fillId="9" borderId="57" xfId="4" applyFont="1" applyFill="1" applyBorder="1" applyAlignment="1">
      <alignment horizontal="right" vertical="center"/>
    </xf>
    <xf numFmtId="0" fontId="0" fillId="0" borderId="6" xfId="0" applyBorder="1" applyAlignment="1">
      <alignment horizontal="center"/>
    </xf>
    <xf numFmtId="0" fontId="28" fillId="12" borderId="6" xfId="0" applyFont="1" applyFill="1" applyBorder="1" applyAlignment="1">
      <alignment horizontal="center"/>
    </xf>
    <xf numFmtId="0" fontId="17" fillId="10" borderId="18" xfId="0" applyFont="1" applyFill="1" applyBorder="1" applyAlignment="1">
      <alignment horizontal="center" vertical="center" wrapText="1"/>
    </xf>
    <xf numFmtId="0" fontId="17" fillId="10" borderId="12" xfId="0" applyFont="1" applyFill="1" applyBorder="1" applyAlignment="1">
      <alignment horizontal="center" vertical="center" wrapText="1"/>
    </xf>
    <xf numFmtId="0" fontId="18" fillId="15" borderId="1" xfId="0" applyFont="1" applyFill="1" applyBorder="1" applyAlignment="1">
      <alignment horizontal="center" vertical="center" wrapText="1"/>
    </xf>
    <xf numFmtId="0" fontId="18" fillId="15" borderId="2" xfId="0" applyFont="1" applyFill="1" applyBorder="1" applyAlignment="1">
      <alignment horizontal="center" vertical="center" wrapText="1"/>
    </xf>
    <xf numFmtId="0" fontId="18" fillId="15" borderId="3" xfId="0" applyFont="1" applyFill="1" applyBorder="1" applyAlignment="1">
      <alignment horizontal="center" vertical="center" wrapText="1"/>
    </xf>
    <xf numFmtId="0" fontId="18" fillId="15" borderId="9" xfId="0" applyFont="1" applyFill="1" applyBorder="1" applyAlignment="1">
      <alignment horizontal="center" vertical="center" wrapText="1"/>
    </xf>
    <xf numFmtId="0" fontId="18" fillId="15" borderId="10" xfId="0" applyFont="1" applyFill="1" applyBorder="1" applyAlignment="1">
      <alignment horizontal="center" vertical="center" wrapText="1"/>
    </xf>
    <xf numFmtId="0" fontId="18" fillId="15" borderId="11" xfId="0" applyFont="1" applyFill="1" applyBorder="1" applyAlignment="1">
      <alignment horizontal="center" vertical="center" wrapText="1"/>
    </xf>
    <xf numFmtId="0" fontId="16" fillId="0" borderId="16" xfId="0" applyFont="1" applyFill="1" applyBorder="1" applyAlignment="1">
      <alignment horizontal="center"/>
    </xf>
    <xf numFmtId="0" fontId="16" fillId="0" borderId="31" xfId="0" applyFont="1" applyFill="1" applyBorder="1" applyAlignment="1">
      <alignment horizontal="center"/>
    </xf>
    <xf numFmtId="0" fontId="16" fillId="0" borderId="17" xfId="0" applyFont="1" applyFill="1" applyBorder="1" applyAlignment="1">
      <alignment horizontal="center"/>
    </xf>
    <xf numFmtId="0" fontId="0" fillId="0" borderId="0" xfId="0" applyAlignment="1">
      <alignment horizontal="left" wrapText="1"/>
    </xf>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horizontal="center"/>
    </xf>
    <xf numFmtId="0" fontId="18" fillId="12" borderId="1" xfId="0" applyFont="1" applyFill="1" applyBorder="1" applyAlignment="1">
      <alignment horizontal="center" wrapText="1"/>
    </xf>
    <xf numFmtId="0" fontId="18" fillId="12" borderId="2" xfId="0" applyFont="1" applyFill="1" applyBorder="1" applyAlignment="1">
      <alignment horizontal="center" wrapText="1"/>
    </xf>
    <xf numFmtId="0" fontId="18" fillId="12" borderId="3" xfId="0" applyFont="1" applyFill="1" applyBorder="1" applyAlignment="1">
      <alignment horizontal="center" wrapText="1"/>
    </xf>
    <xf numFmtId="0" fontId="18" fillId="12" borderId="4" xfId="0" applyFont="1" applyFill="1" applyBorder="1" applyAlignment="1">
      <alignment horizontal="center" wrapText="1"/>
    </xf>
    <xf numFmtId="0" fontId="18" fillId="12" borderId="10" xfId="0" applyFont="1" applyFill="1" applyBorder="1" applyAlignment="1">
      <alignment horizontal="center" wrapText="1"/>
    </xf>
    <xf numFmtId="0" fontId="18" fillId="12" borderId="11" xfId="0" applyFont="1" applyFill="1" applyBorder="1" applyAlignment="1">
      <alignment horizontal="center" wrapText="1"/>
    </xf>
    <xf numFmtId="0" fontId="18" fillId="12" borderId="13" xfId="0" applyFont="1" applyFill="1" applyBorder="1" applyAlignment="1">
      <alignment horizontal="center"/>
    </xf>
    <xf numFmtId="0" fontId="18" fillId="12" borderId="14" xfId="0" applyFont="1" applyFill="1" applyBorder="1" applyAlignment="1">
      <alignment horizontal="center"/>
    </xf>
    <xf numFmtId="0" fontId="28" fillId="12" borderId="18" xfId="0" applyFont="1" applyFill="1" applyBorder="1" applyAlignment="1">
      <alignment horizontal="center" vertical="center"/>
    </xf>
    <xf numFmtId="0" fontId="28" fillId="12" borderId="12" xfId="0" applyFont="1" applyFill="1" applyBorder="1" applyAlignment="1">
      <alignment horizontal="center" vertical="center"/>
    </xf>
    <xf numFmtId="0" fontId="17" fillId="10" borderId="43" xfId="0" applyFont="1" applyFill="1" applyBorder="1" applyAlignment="1">
      <alignment horizontal="center" vertical="center" wrapText="1"/>
    </xf>
    <xf numFmtId="0" fontId="17" fillId="10" borderId="44" xfId="0" applyFont="1" applyFill="1" applyBorder="1" applyAlignment="1">
      <alignment horizontal="center" vertical="center" wrapText="1"/>
    </xf>
    <xf numFmtId="0" fontId="17" fillId="10" borderId="45" xfId="0" applyFont="1" applyFill="1" applyBorder="1" applyAlignment="1">
      <alignment horizontal="center" vertical="center" wrapText="1"/>
    </xf>
    <xf numFmtId="0" fontId="29" fillId="0" borderId="6" xfId="0" applyFont="1" applyBorder="1" applyAlignment="1">
      <alignment horizontal="center" vertical="center"/>
    </xf>
    <xf numFmtId="0" fontId="29" fillId="0" borderId="18" xfId="0" applyFont="1" applyBorder="1" applyAlignment="1">
      <alignment horizontal="center" vertical="center"/>
    </xf>
    <xf numFmtId="0" fontId="28" fillId="12" borderId="13" xfId="0" applyFont="1" applyFill="1" applyBorder="1" applyAlignment="1">
      <alignment horizontal="center"/>
    </xf>
    <xf numFmtId="0" fontId="28" fillId="12" borderId="14" xfId="0" applyFont="1" applyFill="1" applyBorder="1" applyAlignment="1">
      <alignment horizontal="center"/>
    </xf>
    <xf numFmtId="0" fontId="28" fillId="12" borderId="15" xfId="0" applyFont="1" applyFill="1" applyBorder="1" applyAlignment="1">
      <alignment horizontal="center"/>
    </xf>
    <xf numFmtId="0" fontId="28" fillId="12" borderId="43" xfId="0" applyFont="1" applyFill="1" applyBorder="1" applyAlignment="1">
      <alignment horizontal="center"/>
    </xf>
    <xf numFmtId="0" fontId="28" fillId="12" borderId="45" xfId="0" applyFont="1" applyFill="1" applyBorder="1" applyAlignment="1">
      <alignment horizontal="center"/>
    </xf>
    <xf numFmtId="0" fontId="16" fillId="0" borderId="16" xfId="0" applyFont="1" applyBorder="1" applyAlignment="1">
      <alignment horizontal="left"/>
    </xf>
    <xf numFmtId="0" fontId="16" fillId="0" borderId="31" xfId="0" applyFont="1" applyBorder="1" applyAlignment="1">
      <alignment horizontal="left"/>
    </xf>
    <xf numFmtId="0" fontId="16" fillId="0" borderId="17" xfId="0" applyFont="1" applyBorder="1" applyAlignment="1">
      <alignment horizontal="left"/>
    </xf>
    <xf numFmtId="0" fontId="16" fillId="0" borderId="16" xfId="0" applyFont="1" applyBorder="1" applyAlignment="1">
      <alignment horizontal="left" wrapText="1"/>
    </xf>
    <xf numFmtId="0" fontId="16" fillId="0" borderId="31" xfId="0" applyFont="1" applyBorder="1" applyAlignment="1">
      <alignment horizontal="left" wrapText="1"/>
    </xf>
    <xf numFmtId="0" fontId="16" fillId="0" borderId="22" xfId="0" applyFont="1" applyBorder="1" applyAlignment="1">
      <alignment horizontal="left" wrapText="1"/>
    </xf>
    <xf numFmtId="0" fontId="16" fillId="0" borderId="23" xfId="0" applyFont="1" applyBorder="1" applyAlignment="1">
      <alignment horizontal="left" wrapText="1"/>
    </xf>
    <xf numFmtId="0" fontId="0" fillId="10" borderId="12" xfId="0" applyFill="1" applyBorder="1" applyAlignment="1">
      <alignment horizontal="center" vertical="center" wrapText="1"/>
    </xf>
    <xf numFmtId="0" fontId="0" fillId="10" borderId="6" xfId="0" applyFill="1" applyBorder="1" applyAlignment="1">
      <alignment horizontal="center" vertical="center" wrapText="1"/>
    </xf>
    <xf numFmtId="0" fontId="18" fillId="15" borderId="4" xfId="0" applyFont="1" applyFill="1" applyBorder="1" applyAlignment="1">
      <alignment horizontal="center" vertical="center" wrapText="1"/>
    </xf>
    <xf numFmtId="0" fontId="18" fillId="15" borderId="0" xfId="0" applyFont="1" applyFill="1" applyBorder="1" applyAlignment="1">
      <alignment horizontal="center" vertical="center" wrapText="1"/>
    </xf>
    <xf numFmtId="0" fontId="18" fillId="15" borderId="5" xfId="0" applyFont="1" applyFill="1" applyBorder="1" applyAlignment="1">
      <alignment horizontal="center" vertical="center" wrapText="1"/>
    </xf>
    <xf numFmtId="0" fontId="0" fillId="0" borderId="20" xfId="0" applyBorder="1" applyAlignment="1">
      <alignment horizontal="center"/>
    </xf>
    <xf numFmtId="0" fontId="0" fillId="0" borderId="20" xfId="0" applyBorder="1" applyAlignment="1">
      <alignment horizontal="center" vertical="center" wrapText="1"/>
    </xf>
    <xf numFmtId="0" fontId="18" fillId="12" borderId="15" xfId="0" applyFont="1" applyFill="1" applyBorder="1" applyAlignment="1">
      <alignment horizontal="center"/>
    </xf>
    <xf numFmtId="0" fontId="0" fillId="10" borderId="6" xfId="0" applyFill="1" applyBorder="1" applyAlignment="1">
      <alignment horizontal="center" vertical="center"/>
    </xf>
    <xf numFmtId="0" fontId="0" fillId="10" borderId="6" xfId="0" applyFill="1" applyBorder="1" applyAlignment="1">
      <alignment horizontal="center" wrapText="1"/>
    </xf>
    <xf numFmtId="0" fontId="17" fillId="10" borderId="6" xfId="0" applyFont="1" applyFill="1" applyBorder="1" applyAlignment="1">
      <alignment horizontal="center" wrapText="1"/>
    </xf>
    <xf numFmtId="0" fontId="17" fillId="13" borderId="6"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0" fillId="12" borderId="13" xfId="0" applyFill="1" applyBorder="1" applyAlignment="1">
      <alignment horizontal="center"/>
    </xf>
    <xf numFmtId="0" fontId="0" fillId="12" borderId="14" xfId="0" applyFill="1" applyBorder="1" applyAlignment="1">
      <alignment horizontal="center"/>
    </xf>
    <xf numFmtId="0" fontId="0" fillId="12" borderId="15" xfId="0" applyFill="1" applyBorder="1" applyAlignment="1">
      <alignment horizontal="center"/>
    </xf>
    <xf numFmtId="0" fontId="0" fillId="10" borderId="12" xfId="0" applyFill="1" applyBorder="1" applyAlignment="1">
      <alignment horizontal="center" vertical="center"/>
    </xf>
    <xf numFmtId="0" fontId="0" fillId="10" borderId="29" xfId="0" applyFill="1" applyBorder="1" applyAlignment="1">
      <alignment horizontal="center" vertical="center" wrapText="1"/>
    </xf>
    <xf numFmtId="0" fontId="19" fillId="11" borderId="13" xfId="0" applyFont="1" applyFill="1" applyBorder="1" applyAlignment="1">
      <alignment horizontal="center" vertical="center"/>
    </xf>
    <xf numFmtId="0" fontId="19" fillId="11" borderId="14" xfId="0" applyFont="1" applyFill="1" applyBorder="1" applyAlignment="1">
      <alignment horizontal="center" vertical="center"/>
    </xf>
    <xf numFmtId="0" fontId="19" fillId="11" borderId="15" xfId="0" applyFont="1" applyFill="1" applyBorder="1" applyAlignment="1">
      <alignment horizontal="center" vertical="center"/>
    </xf>
    <xf numFmtId="0" fontId="0" fillId="13" borderId="29" xfId="0" applyFill="1" applyBorder="1" applyAlignment="1">
      <alignment horizontal="center" vertical="center" wrapText="1"/>
    </xf>
    <xf numFmtId="0" fontId="0" fillId="13" borderId="12" xfId="0" applyFill="1" applyBorder="1" applyAlignment="1">
      <alignment horizontal="center" vertical="center" wrapText="1"/>
    </xf>
    <xf numFmtId="0" fontId="0" fillId="13" borderId="29" xfId="0" applyFill="1" applyBorder="1" applyAlignment="1">
      <alignment horizontal="center" vertical="center"/>
    </xf>
    <xf numFmtId="0" fontId="0" fillId="13" borderId="12" xfId="0" applyFill="1" applyBorder="1" applyAlignment="1">
      <alignment horizontal="center" vertical="center"/>
    </xf>
    <xf numFmtId="0" fontId="19" fillId="11" borderId="13" xfId="0" applyFont="1" applyFill="1" applyBorder="1" applyAlignment="1">
      <alignment horizontal="center"/>
    </xf>
    <xf numFmtId="0" fontId="19" fillId="11" borderId="14" xfId="0" applyFont="1" applyFill="1" applyBorder="1" applyAlignment="1">
      <alignment horizontal="center"/>
    </xf>
    <xf numFmtId="0" fontId="19" fillId="11" borderId="15" xfId="0" applyFont="1" applyFill="1"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10" borderId="12" xfId="0" applyFill="1" applyBorder="1" applyAlignment="1">
      <alignment horizontal="center" wrapText="1"/>
    </xf>
    <xf numFmtId="0" fontId="18" fillId="15" borderId="13" xfId="0" applyFont="1" applyFill="1" applyBorder="1" applyAlignment="1">
      <alignment horizontal="center" vertical="center" wrapText="1"/>
    </xf>
    <xf numFmtId="0" fontId="18" fillId="15" borderId="14" xfId="0" applyFont="1" applyFill="1" applyBorder="1" applyAlignment="1">
      <alignment horizontal="center" vertical="center" wrapText="1"/>
    </xf>
    <xf numFmtId="0" fontId="18" fillId="15" borderId="15" xfId="0" applyFont="1" applyFill="1" applyBorder="1" applyAlignment="1">
      <alignment horizontal="center" vertical="center" wrapText="1"/>
    </xf>
    <xf numFmtId="0" fontId="16" fillId="0" borderId="10" xfId="0" applyFont="1" applyBorder="1" applyAlignment="1">
      <alignment horizontal="left"/>
    </xf>
    <xf numFmtId="0" fontId="19" fillId="12" borderId="13" xfId="0" applyFont="1" applyFill="1" applyBorder="1" applyAlignment="1">
      <alignment horizontal="center"/>
    </xf>
    <xf numFmtId="0" fontId="19" fillId="12" borderId="14" xfId="0" applyFont="1" applyFill="1" applyBorder="1" applyAlignment="1">
      <alignment horizontal="center"/>
    </xf>
    <xf numFmtId="0" fontId="19" fillId="12" borderId="15" xfId="0" applyFont="1" applyFill="1" applyBorder="1" applyAlignment="1">
      <alignment horizontal="center"/>
    </xf>
    <xf numFmtId="0" fontId="0" fillId="10" borderId="19" xfId="0" applyFill="1" applyBorder="1" applyAlignment="1">
      <alignment horizontal="center" vertical="center" wrapText="1"/>
    </xf>
    <xf numFmtId="0" fontId="0" fillId="10" borderId="23" xfId="0" applyFill="1" applyBorder="1" applyAlignment="1">
      <alignment horizontal="center" vertical="center" wrapText="1"/>
    </xf>
    <xf numFmtId="0" fontId="0" fillId="10" borderId="17" xfId="0" applyFill="1" applyBorder="1" applyAlignment="1">
      <alignment horizontal="center" vertical="center" wrapText="1"/>
    </xf>
    <xf numFmtId="0" fontId="16" fillId="0" borderId="25" xfId="0" applyFont="1" applyBorder="1" applyAlignment="1">
      <alignment horizontal="center" vertical="center" wrapText="1"/>
    </xf>
    <xf numFmtId="0" fontId="16" fillId="0" borderId="26" xfId="0" applyFont="1" applyBorder="1" applyAlignment="1">
      <alignment horizontal="center" vertical="center" wrapText="1"/>
    </xf>
    <xf numFmtId="0" fontId="16" fillId="0" borderId="27"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23" xfId="0" applyFont="1" applyBorder="1" applyAlignment="1">
      <alignment horizontal="center" vertical="center" wrapText="1"/>
    </xf>
    <xf numFmtId="0" fontId="0" fillId="0" borderId="6" xfId="0" applyBorder="1" applyAlignment="1">
      <alignment horizontal="left"/>
    </xf>
    <xf numFmtId="0" fontId="18" fillId="12" borderId="1" xfId="0" applyFont="1" applyFill="1" applyBorder="1" applyAlignment="1">
      <alignment horizontal="center"/>
    </xf>
    <xf numFmtId="0" fontId="18" fillId="12" borderId="2" xfId="0" applyFont="1" applyFill="1" applyBorder="1" applyAlignment="1">
      <alignment horizontal="center"/>
    </xf>
    <xf numFmtId="0" fontId="18" fillId="12" borderId="3" xfId="0" applyFont="1" applyFill="1" applyBorder="1" applyAlignment="1">
      <alignment horizontal="center"/>
    </xf>
    <xf numFmtId="0" fontId="0" fillId="0" borderId="25" xfId="0" applyBorder="1" applyAlignment="1">
      <alignment horizontal="left" vertical="center"/>
    </xf>
    <xf numFmtId="0" fontId="0" fillId="0" borderId="26" xfId="0" applyBorder="1" applyAlignment="1">
      <alignment horizontal="left" vertical="center"/>
    </xf>
    <xf numFmtId="0" fontId="0" fillId="0" borderId="6" xfId="0" applyBorder="1" applyAlignment="1">
      <alignment horizontal="center" vertical="center" wrapText="1"/>
    </xf>
    <xf numFmtId="0" fontId="32" fillId="11" borderId="13" xfId="0" applyFont="1" applyFill="1" applyBorder="1" applyAlignment="1">
      <alignment horizontal="center" vertical="center"/>
    </xf>
    <xf numFmtId="0" fontId="32" fillId="11" borderId="14" xfId="0" applyFont="1" applyFill="1" applyBorder="1" applyAlignment="1">
      <alignment horizontal="center" vertical="center"/>
    </xf>
    <xf numFmtId="0" fontId="32" fillId="11" borderId="15" xfId="0" applyFont="1" applyFill="1" applyBorder="1" applyAlignment="1">
      <alignment horizontal="center" vertical="center"/>
    </xf>
    <xf numFmtId="0" fontId="31" fillId="0" borderId="46" xfId="0" applyFont="1" applyBorder="1" applyAlignment="1">
      <alignment horizontal="center" vertical="center" wrapText="1"/>
    </xf>
    <xf numFmtId="0" fontId="31" fillId="0" borderId="47" xfId="0" applyFont="1" applyBorder="1" applyAlignment="1">
      <alignment horizontal="center" vertical="center" wrapText="1"/>
    </xf>
    <xf numFmtId="0" fontId="31" fillId="0" borderId="30" xfId="0" applyFont="1" applyBorder="1" applyAlignment="1">
      <alignment horizontal="center" vertical="center" wrapText="1"/>
    </xf>
    <xf numFmtId="0" fontId="32" fillId="11" borderId="1" xfId="0" applyFont="1" applyFill="1" applyBorder="1" applyAlignment="1">
      <alignment horizontal="center" wrapText="1"/>
    </xf>
    <xf numFmtId="0" fontId="32" fillId="11" borderId="3" xfId="0" applyFont="1" applyFill="1" applyBorder="1" applyAlignment="1">
      <alignment horizontal="center" wrapText="1"/>
    </xf>
    <xf numFmtId="0" fontId="32" fillId="11" borderId="9" xfId="0" applyFont="1" applyFill="1" applyBorder="1" applyAlignment="1">
      <alignment horizontal="center" wrapText="1"/>
    </xf>
    <xf numFmtId="0" fontId="32" fillId="11" borderId="11" xfId="0" applyFont="1" applyFill="1" applyBorder="1" applyAlignment="1">
      <alignment horizontal="center" wrapText="1"/>
    </xf>
    <xf numFmtId="0" fontId="0" fillId="10" borderId="29" xfId="0" applyFill="1" applyBorder="1" applyAlignment="1">
      <alignment horizontal="center" vertical="center"/>
    </xf>
    <xf numFmtId="0" fontId="62" fillId="0" borderId="20" xfId="10" applyFont="1" applyBorder="1" applyAlignment="1">
      <alignment horizontal="center" vertical="center"/>
    </xf>
    <xf numFmtId="0" fontId="62" fillId="0" borderId="0" xfId="10" applyFont="1" applyBorder="1" applyAlignment="1">
      <alignment horizontal="center" vertical="center"/>
    </xf>
    <xf numFmtId="0" fontId="62" fillId="0" borderId="28" xfId="10" applyFont="1" applyBorder="1" applyAlignment="1">
      <alignment horizontal="center" vertical="center"/>
    </xf>
    <xf numFmtId="0" fontId="54" fillId="23" borderId="6" xfId="10" applyFont="1" applyFill="1" applyBorder="1" applyAlignment="1">
      <alignment horizontal="left"/>
    </xf>
    <xf numFmtId="165" fontId="52" fillId="22" borderId="6" xfId="11" applyNumberFormat="1" applyFont="1" applyFill="1" applyBorder="1" applyAlignment="1">
      <alignment horizontal="center" vertical="center"/>
    </xf>
    <xf numFmtId="0" fontId="52" fillId="22" borderId="18" xfId="10" applyFont="1" applyFill="1" applyBorder="1" applyAlignment="1">
      <alignment horizontal="center" vertical="center"/>
    </xf>
    <xf numFmtId="0" fontId="52" fillId="22" borderId="12" xfId="10" applyFont="1" applyFill="1" applyBorder="1" applyAlignment="1">
      <alignment horizontal="center" vertical="center"/>
    </xf>
    <xf numFmtId="0" fontId="60" fillId="0" borderId="26" xfId="10" applyFont="1" applyBorder="1" applyAlignment="1">
      <alignment horizontal="left"/>
    </xf>
    <xf numFmtId="0" fontId="57" fillId="0" borderId="20" xfId="10" applyFont="1" applyBorder="1" applyAlignment="1">
      <alignment horizontal="left"/>
    </xf>
    <xf numFmtId="0" fontId="57" fillId="0" borderId="0" xfId="10" applyFont="1" applyBorder="1" applyAlignment="1">
      <alignment horizontal="left"/>
    </xf>
    <xf numFmtId="0" fontId="55" fillId="0" borderId="0" xfId="10" applyFont="1" applyBorder="1" applyAlignment="1">
      <alignment horizontal="center"/>
    </xf>
    <xf numFmtId="0" fontId="55" fillId="0" borderId="28" xfId="10" applyFont="1" applyBorder="1" applyAlignment="1">
      <alignment horizontal="center"/>
    </xf>
    <xf numFmtId="0" fontId="55" fillId="0" borderId="20" xfId="10" applyFont="1" applyBorder="1" applyAlignment="1">
      <alignment horizontal="center"/>
    </xf>
    <xf numFmtId="0" fontId="49" fillId="0" borderId="20" xfId="10" applyFont="1" applyBorder="1" applyAlignment="1">
      <alignment horizontal="left"/>
    </xf>
    <xf numFmtId="0" fontId="49" fillId="0" borderId="0" xfId="10" applyFont="1" applyBorder="1" applyAlignment="1">
      <alignment horizontal="left"/>
    </xf>
    <xf numFmtId="165" fontId="52" fillId="22" borderId="6" xfId="11" applyNumberFormat="1" applyFont="1" applyFill="1" applyBorder="1" applyAlignment="1">
      <alignment horizontal="center"/>
    </xf>
    <xf numFmtId="0" fontId="9" fillId="0" borderId="0" xfId="10" applyAlignment="1">
      <alignment horizontal="center"/>
    </xf>
    <xf numFmtId="0" fontId="43" fillId="0" borderId="0" xfId="10" applyFont="1" applyAlignment="1">
      <alignment horizontal="center"/>
    </xf>
    <xf numFmtId="0" fontId="44" fillId="0" borderId="0" xfId="10" applyFont="1" applyAlignment="1">
      <alignment horizontal="center"/>
    </xf>
    <xf numFmtId="0" fontId="45" fillId="0" borderId="0" xfId="10" applyFont="1" applyAlignment="1">
      <alignment horizontal="center"/>
    </xf>
    <xf numFmtId="168" fontId="49" fillId="0" borderId="0" xfId="10" applyNumberFormat="1" applyFont="1" applyBorder="1" applyAlignment="1">
      <alignment horizontal="right"/>
    </xf>
    <xf numFmtId="168" fontId="49" fillId="0" borderId="28" xfId="10" applyNumberFormat="1" applyFont="1" applyBorder="1" applyAlignment="1">
      <alignment horizontal="right"/>
    </xf>
    <xf numFmtId="0" fontId="46" fillId="0" borderId="0" xfId="10" applyFont="1" applyAlignment="1">
      <alignment horizontal="center"/>
    </xf>
    <xf numFmtId="0" fontId="51" fillId="0" borderId="20" xfId="10" applyFont="1" applyBorder="1" applyAlignment="1">
      <alignment horizontal="left"/>
    </xf>
    <xf numFmtId="0" fontId="51" fillId="0" borderId="0" xfId="10" applyFont="1" applyBorder="1" applyAlignment="1">
      <alignment horizontal="left"/>
    </xf>
    <xf numFmtId="0" fontId="52" fillId="22" borderId="6" xfId="10" applyFont="1" applyFill="1" applyBorder="1" applyAlignment="1">
      <alignment horizontal="center" vertical="center"/>
    </xf>
    <xf numFmtId="165" fontId="43" fillId="0" borderId="0" xfId="11" applyNumberFormat="1" applyFont="1" applyFill="1" applyBorder="1" applyAlignment="1">
      <alignment horizontal="right"/>
    </xf>
    <xf numFmtId="0" fontId="53" fillId="23" borderId="6" xfId="10" applyFont="1" applyFill="1" applyBorder="1" applyAlignment="1">
      <alignment horizontal="center"/>
    </xf>
    <xf numFmtId="0" fontId="52" fillId="22" borderId="6" xfId="10" applyFont="1" applyFill="1" applyBorder="1" applyAlignment="1">
      <alignment horizontal="center"/>
    </xf>
    <xf numFmtId="0" fontId="54" fillId="6" borderId="6" xfId="10" applyFont="1" applyFill="1" applyBorder="1" applyAlignment="1">
      <alignment horizontal="left"/>
    </xf>
  </cellXfs>
  <cellStyles count="13">
    <cellStyle name="Bom" xfId="3" builtinId="26"/>
    <cellStyle name="Excel Built-in Normal" xfId="4"/>
    <cellStyle name="Excel Built-in Normal 1 2" xfId="6"/>
    <cellStyle name="Excel Built-in Normal 2" xfId="5"/>
    <cellStyle name="Moeda" xfId="8" builtinId="4"/>
    <cellStyle name="Normal" xfId="0" builtinId="0"/>
    <cellStyle name="Normal 2" xfId="10"/>
    <cellStyle name="Normal_Pesquisa no referencial 10 de maio de 2013" xfId="9"/>
    <cellStyle name="Porcentagem" xfId="2" builtinId="5"/>
    <cellStyle name="Porcentagem 2" xfId="12"/>
    <cellStyle name="Separador de milhares" xfId="1" builtinId="3"/>
    <cellStyle name="Separador de milhares 2" xfId="11"/>
    <cellStyle name="Vírgula 2" xfId="7"/>
  </cellStyles>
  <dxfs count="16">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s>
  <tableStyles count="0" defaultTableStyle="TableStyleMedium9" defaultPivotStyle="PivotStyleLight16"/>
  <colors>
    <mruColors>
      <color rgb="FFFF2121"/>
      <color rgb="FFD1D1FF"/>
      <color rgb="FFFF5B5B"/>
      <color rgb="FFFFCC99"/>
      <color rgb="FFFEF1DE"/>
      <color rgb="FFFEE6C2"/>
      <color rgb="FFFFE5E5"/>
      <color rgb="FFFBE5F8"/>
      <color rgb="FF97BAFF"/>
      <color rgb="FF6969FF"/>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1695450</xdr:colOff>
      <xdr:row>280</xdr:row>
      <xdr:rowOff>161925</xdr:rowOff>
    </xdr:from>
    <xdr:to>
      <xdr:col>2</xdr:col>
      <xdr:colOff>0</xdr:colOff>
      <xdr:row>281</xdr:row>
      <xdr:rowOff>1</xdr:rowOff>
    </xdr:to>
    <xdr:pic>
      <xdr:nvPicPr>
        <xdr:cNvPr id="2" name="Imagem 13" descr="ricaRDO.png"/>
        <xdr:cNvPicPr>
          <a:picLocks noChangeAspect="1"/>
        </xdr:cNvPicPr>
      </xdr:nvPicPr>
      <xdr:blipFill>
        <a:blip xmlns:r="http://schemas.openxmlformats.org/officeDocument/2006/relationships" r:embed="rId1"/>
        <a:srcRect/>
        <a:stretch>
          <a:fillRect/>
        </a:stretch>
      </xdr:blipFill>
      <xdr:spPr bwMode="auto">
        <a:xfrm>
          <a:off x="3171825" y="75037950"/>
          <a:ext cx="1390650" cy="723900"/>
        </a:xfrm>
        <a:prstGeom prst="rect">
          <a:avLst/>
        </a:prstGeom>
        <a:noFill/>
        <a:ln w="9525">
          <a:noFill/>
          <a:miter lim="800000"/>
          <a:headEnd/>
          <a:tailEnd/>
        </a:ln>
      </xdr:spPr>
    </xdr:pic>
    <xdr:clientData/>
  </xdr:twoCellAnchor>
  <xdr:twoCellAnchor editAs="oneCell">
    <xdr:from>
      <xdr:col>1</xdr:col>
      <xdr:colOff>47625</xdr:colOff>
      <xdr:row>0</xdr:row>
      <xdr:rowOff>28575</xdr:rowOff>
    </xdr:from>
    <xdr:to>
      <xdr:col>2</xdr:col>
      <xdr:colOff>871538</xdr:colOff>
      <xdr:row>3</xdr:row>
      <xdr:rowOff>133350</xdr:rowOff>
    </xdr:to>
    <xdr:pic>
      <xdr:nvPicPr>
        <xdr:cNvPr id="3" name="Imagem 3" descr="bandeira GASPAR.png"/>
        <xdr:cNvPicPr>
          <a:picLocks noChangeAspect="1"/>
        </xdr:cNvPicPr>
      </xdr:nvPicPr>
      <xdr:blipFill>
        <a:blip xmlns:r="http://schemas.openxmlformats.org/officeDocument/2006/relationships" r:embed="rId2" cstate="print"/>
        <a:srcRect/>
        <a:stretch>
          <a:fillRect/>
        </a:stretch>
      </xdr:blipFill>
      <xdr:spPr bwMode="auto">
        <a:xfrm>
          <a:off x="47625" y="28575"/>
          <a:ext cx="1181100" cy="723900"/>
        </a:xfrm>
        <a:prstGeom prst="rect">
          <a:avLst/>
        </a:prstGeom>
        <a:noFill/>
        <a:ln w="9525">
          <a:noFill/>
          <a:miter lim="800000"/>
          <a:headEnd/>
          <a:tailEnd/>
        </a:ln>
      </xdr:spPr>
    </xdr:pic>
    <xdr:clientData/>
  </xdr:twoCellAnchor>
  <xdr:twoCellAnchor editAs="oneCell">
    <xdr:from>
      <xdr:col>7</xdr:col>
      <xdr:colOff>619126</xdr:colOff>
      <xdr:row>0</xdr:row>
      <xdr:rowOff>95250</xdr:rowOff>
    </xdr:from>
    <xdr:to>
      <xdr:col>8</xdr:col>
      <xdr:colOff>638176</xdr:colOff>
      <xdr:row>3</xdr:row>
      <xdr:rowOff>171450</xdr:rowOff>
    </xdr:to>
    <xdr:pic>
      <xdr:nvPicPr>
        <xdr:cNvPr id="4" name="Imagem 4" descr="brasao_oficial_pequeno.jpg"/>
        <xdr:cNvPicPr>
          <a:picLocks noChangeAspect="1"/>
        </xdr:cNvPicPr>
      </xdr:nvPicPr>
      <xdr:blipFill>
        <a:blip xmlns:r="http://schemas.openxmlformats.org/officeDocument/2006/relationships" r:embed="rId3" cstate="print"/>
        <a:srcRect/>
        <a:stretch>
          <a:fillRect/>
        </a:stretch>
      </xdr:blipFill>
      <xdr:spPr bwMode="auto">
        <a:xfrm>
          <a:off x="9286876" y="95250"/>
          <a:ext cx="819150" cy="695325"/>
        </a:xfrm>
        <a:prstGeom prst="rect">
          <a:avLst/>
        </a:prstGeom>
        <a:noFill/>
        <a:ln w="9525">
          <a:noFill/>
          <a:miter lim="800000"/>
          <a:headEnd/>
          <a:tailEnd/>
        </a:ln>
      </xdr:spPr>
    </xdr:pic>
    <xdr:clientData/>
  </xdr:twoCellAnchor>
  <xdr:twoCellAnchor editAs="oneCell">
    <xdr:from>
      <xdr:col>3</xdr:col>
      <xdr:colOff>409575</xdr:colOff>
      <xdr:row>275</xdr:row>
      <xdr:rowOff>0</xdr:rowOff>
    </xdr:from>
    <xdr:to>
      <xdr:col>3</xdr:col>
      <xdr:colOff>609600</xdr:colOff>
      <xdr:row>276</xdr:row>
      <xdr:rowOff>180973</xdr:rowOff>
    </xdr:to>
    <xdr:sp macro="" textlink="">
      <xdr:nvSpPr>
        <xdr:cNvPr id="5" name="AutoShape 172"/>
        <xdr:cNvSpPr>
          <a:spLocks noChangeAspect="1" noChangeArrowheads="1"/>
        </xdr:cNvSpPr>
      </xdr:nvSpPr>
      <xdr:spPr bwMode="auto">
        <a:xfrm>
          <a:off x="1885950" y="74609325"/>
          <a:ext cx="1019175" cy="638175"/>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1695450</xdr:colOff>
      <xdr:row>38</xdr:row>
      <xdr:rowOff>161925</xdr:rowOff>
    </xdr:from>
    <xdr:to>
      <xdr:col>6</xdr:col>
      <xdr:colOff>8468</xdr:colOff>
      <xdr:row>39</xdr:row>
      <xdr:rowOff>1</xdr:rowOff>
    </xdr:to>
    <xdr:pic>
      <xdr:nvPicPr>
        <xdr:cNvPr id="2" name="Imagem 13" descr="ricaRDO.png"/>
        <xdr:cNvPicPr>
          <a:picLocks noChangeAspect="1"/>
        </xdr:cNvPicPr>
      </xdr:nvPicPr>
      <xdr:blipFill>
        <a:blip xmlns:r="http://schemas.openxmlformats.org/officeDocument/2006/relationships" r:embed="rId1"/>
        <a:srcRect/>
        <a:stretch>
          <a:fillRect/>
        </a:stretch>
      </xdr:blipFill>
      <xdr:spPr bwMode="auto">
        <a:xfrm>
          <a:off x="971550" y="115462050"/>
          <a:ext cx="0" cy="28576"/>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tagioeduca01\AppData\Roaming\Microsoft\Excel\Utilidades%20para%20projetos\Or&#231;amento%20CDI%20Belchior%20-%20Constru&#231;&#227;o%20Nova%20-%20Ricard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USTO"/>
      <sheetName val="CRONOGRAMA"/>
      <sheetName val="Plan1"/>
      <sheetName val="BDI"/>
    </sheetNames>
    <sheetDataSet>
      <sheetData sheetId="0" refreshError="1"/>
      <sheetData sheetId="1" refreshError="1"/>
      <sheetData sheetId="2" refreshError="1">
        <row r="17">
          <cell r="B17">
            <v>128.1</v>
          </cell>
          <cell r="C17">
            <v>9636.8000000000011</v>
          </cell>
          <cell r="D17">
            <v>1035.0999999999999</v>
          </cell>
        </row>
      </sheetData>
      <sheetData sheetId="3"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sheetPr>
    <pageSetUpPr fitToPage="1"/>
  </sheetPr>
  <dimension ref="A1:T298"/>
  <sheetViews>
    <sheetView showGridLines="0" tabSelected="1" workbookViewId="0">
      <selection activeCell="B282" sqref="B282:I284"/>
    </sheetView>
  </sheetViews>
  <sheetFormatPr defaultRowHeight="15"/>
  <cols>
    <col min="1" max="1" width="9.140625" style="493"/>
    <col min="2" max="2" width="5.42578125" customWidth="1"/>
    <col min="3" max="3" width="17.42578125" customWidth="1"/>
    <col min="4" max="4" width="69.42578125" customWidth="1"/>
    <col min="5" max="6" width="9.140625" bestFit="1" customWidth="1"/>
    <col min="7" max="7" width="10.28515625" customWidth="1"/>
    <col min="8" max="8" width="12" customWidth="1"/>
    <col min="9" max="9" width="13.140625" bestFit="1" customWidth="1"/>
    <col min="10" max="10" width="9.5703125" customWidth="1"/>
    <col min="11" max="11" width="12.7109375" bestFit="1" customWidth="1"/>
    <col min="12" max="12" width="10.85546875" customWidth="1"/>
    <col min="13" max="14" width="10.28515625" customWidth="1"/>
    <col min="15" max="15" width="9.140625" customWidth="1"/>
    <col min="16" max="18" width="9.7109375" customWidth="1"/>
  </cols>
  <sheetData>
    <row r="1" spans="1:20" ht="18" customHeight="1">
      <c r="A1" s="510"/>
      <c r="B1" s="512"/>
      <c r="C1" s="505"/>
      <c r="D1" s="506" t="s">
        <v>1231</v>
      </c>
      <c r="E1" s="507"/>
      <c r="F1" s="507"/>
      <c r="G1" s="508"/>
      <c r="H1" s="508"/>
      <c r="I1" s="509"/>
    </row>
    <row r="2" spans="1:20" ht="15.75" customHeight="1">
      <c r="A2" s="510"/>
      <c r="B2" s="513"/>
      <c r="C2" s="1"/>
      <c r="D2" s="352" t="s">
        <v>1232</v>
      </c>
      <c r="E2" s="9"/>
      <c r="F2" s="9"/>
      <c r="G2" s="2"/>
      <c r="H2" s="2"/>
      <c r="I2" s="495"/>
    </row>
    <row r="3" spans="1:20" ht="15" customHeight="1">
      <c r="A3" s="510"/>
      <c r="B3" s="513"/>
      <c r="C3" s="1"/>
      <c r="D3" s="344" t="s">
        <v>1233</v>
      </c>
      <c r="E3" s="10"/>
      <c r="F3" s="10"/>
      <c r="G3" s="2"/>
      <c r="H3" s="2"/>
      <c r="I3" s="495"/>
    </row>
    <row r="4" spans="1:20" ht="15" customHeight="1">
      <c r="A4" s="510"/>
      <c r="B4" s="513"/>
      <c r="C4" s="1"/>
      <c r="D4" s="344" t="s">
        <v>1234</v>
      </c>
      <c r="E4" s="2"/>
      <c r="F4" s="3"/>
      <c r="G4" s="2"/>
      <c r="H4" s="2"/>
      <c r="I4" s="495"/>
    </row>
    <row r="5" spans="1:20">
      <c r="A5" s="510"/>
      <c r="B5" s="566"/>
      <c r="C5" s="567"/>
      <c r="D5" s="36"/>
      <c r="E5" s="4"/>
      <c r="F5" s="5"/>
      <c r="G5" s="6" t="s">
        <v>1</v>
      </c>
      <c r="H5" s="7">
        <v>0.26850000000000002</v>
      </c>
      <c r="I5" s="496">
        <f ca="1">NOW()</f>
        <v>43291.459030092592</v>
      </c>
    </row>
    <row r="6" spans="1:20">
      <c r="A6" s="510"/>
      <c r="B6" s="514"/>
      <c r="C6" s="2"/>
      <c r="D6" s="492" t="s">
        <v>0</v>
      </c>
      <c r="E6" s="4"/>
      <c r="F6" s="5"/>
      <c r="G6" s="4"/>
      <c r="H6" s="4"/>
      <c r="I6" s="496"/>
      <c r="K6" s="568"/>
      <c r="L6" s="568"/>
      <c r="M6" s="568"/>
      <c r="N6" s="568"/>
      <c r="O6" s="568"/>
      <c r="P6" s="568"/>
      <c r="Q6" s="568"/>
      <c r="R6" s="568"/>
      <c r="S6" s="568"/>
      <c r="T6" s="568"/>
    </row>
    <row r="7" spans="1:20" s="305" customFormat="1">
      <c r="A7" s="510"/>
      <c r="B7" s="515"/>
      <c r="C7" s="344"/>
      <c r="D7" s="492"/>
      <c r="E7" s="4"/>
      <c r="F7" s="5"/>
      <c r="G7" s="4"/>
      <c r="H7" s="4"/>
      <c r="I7" s="496"/>
    </row>
    <row r="8" spans="1:20" ht="25.5">
      <c r="A8" s="510"/>
      <c r="B8" s="516" t="s">
        <v>2</v>
      </c>
      <c r="C8" s="147" t="s">
        <v>3</v>
      </c>
      <c r="D8" s="147" t="s">
        <v>4</v>
      </c>
      <c r="E8" s="431" t="s">
        <v>5</v>
      </c>
      <c r="F8" s="148" t="s">
        <v>6</v>
      </c>
      <c r="G8" s="149" t="s">
        <v>7</v>
      </c>
      <c r="H8" s="149" t="s">
        <v>8</v>
      </c>
      <c r="I8" s="497" t="s">
        <v>9</v>
      </c>
      <c r="K8" s="568"/>
      <c r="L8" s="568"/>
      <c r="M8" s="568"/>
      <c r="N8" s="568"/>
      <c r="O8" s="568"/>
      <c r="P8" s="568"/>
      <c r="Q8" s="568"/>
      <c r="R8" s="568"/>
      <c r="S8" s="568"/>
      <c r="T8" s="568"/>
    </row>
    <row r="9" spans="1:20">
      <c r="A9" s="510"/>
      <c r="B9" s="517" t="s">
        <v>10</v>
      </c>
      <c r="C9" s="152"/>
      <c r="D9" s="153" t="s">
        <v>11</v>
      </c>
      <c r="E9" s="153"/>
      <c r="F9" s="153"/>
      <c r="G9" s="153"/>
      <c r="H9" s="153"/>
      <c r="I9" s="498">
        <f>SUM(I10:I17)</f>
        <v>58867.920000000006</v>
      </c>
    </row>
    <row r="10" spans="1:20" ht="17.100000000000001" customHeight="1">
      <c r="A10" s="510"/>
      <c r="B10" s="315" t="s">
        <v>12</v>
      </c>
      <c r="C10" s="391" t="s">
        <v>848</v>
      </c>
      <c r="D10" s="357" t="s">
        <v>799</v>
      </c>
      <c r="E10" s="317" t="s">
        <v>805</v>
      </c>
      <c r="F10" s="349">
        <v>2</v>
      </c>
      <c r="G10" s="345">
        <v>301.70999999999998</v>
      </c>
      <c r="H10" s="345">
        <f t="shared" ref="H10:H19" si="0">ROUND(G10*1.2685,2)</f>
        <v>382.72</v>
      </c>
      <c r="I10" s="319">
        <f t="shared" ref="I10:I17" si="1">ROUND(F10*H10,2)</f>
        <v>765.44</v>
      </c>
      <c r="K10" s="240"/>
    </row>
    <row r="11" spans="1:20" ht="63.75">
      <c r="A11" s="510"/>
      <c r="B11" s="154" t="s">
        <v>14</v>
      </c>
      <c r="C11" s="411" t="s">
        <v>386</v>
      </c>
      <c r="D11" s="527" t="s">
        <v>1249</v>
      </c>
      <c r="E11" s="155" t="s">
        <v>805</v>
      </c>
      <c r="F11" s="380">
        <f>115*2.2</f>
        <v>253.00000000000003</v>
      </c>
      <c r="G11" s="157">
        <f>71.81*1.1138</f>
        <v>79.981977999999998</v>
      </c>
      <c r="H11" s="158">
        <f t="shared" si="0"/>
        <v>101.46</v>
      </c>
      <c r="I11" s="156">
        <f t="shared" si="1"/>
        <v>25669.38</v>
      </c>
      <c r="K11" s="352"/>
      <c r="M11" s="568"/>
      <c r="N11" s="568"/>
    </row>
    <row r="12" spans="1:20">
      <c r="A12" s="510"/>
      <c r="B12" s="154" t="s">
        <v>16</v>
      </c>
      <c r="C12" s="392" t="s">
        <v>849</v>
      </c>
      <c r="D12" s="527" t="s">
        <v>800</v>
      </c>
      <c r="E12" s="155" t="s">
        <v>806</v>
      </c>
      <c r="F12" s="380">
        <v>1</v>
      </c>
      <c r="G12" s="157">
        <v>1430.72</v>
      </c>
      <c r="H12" s="158">
        <f t="shared" si="0"/>
        <v>1814.87</v>
      </c>
      <c r="I12" s="156">
        <f t="shared" si="1"/>
        <v>1814.87</v>
      </c>
      <c r="K12" s="344"/>
    </row>
    <row r="13" spans="1:20" ht="30">
      <c r="A13" s="510"/>
      <c r="B13" s="154" t="s">
        <v>17</v>
      </c>
      <c r="C13" s="392" t="s">
        <v>674</v>
      </c>
      <c r="D13" s="527" t="s">
        <v>801</v>
      </c>
      <c r="E13" s="155" t="s">
        <v>806</v>
      </c>
      <c r="F13" s="380">
        <v>1</v>
      </c>
      <c r="G13" s="157">
        <f>909.81*1.0589</f>
        <v>963.39780899999994</v>
      </c>
      <c r="H13" s="158">
        <f t="shared" si="0"/>
        <v>1222.07</v>
      </c>
      <c r="I13" s="156">
        <f t="shared" si="1"/>
        <v>1222.07</v>
      </c>
      <c r="K13" s="344"/>
    </row>
    <row r="14" spans="1:20" s="386" customFormat="1" ht="30">
      <c r="A14" s="510"/>
      <c r="B14" s="154" t="s">
        <v>107</v>
      </c>
      <c r="C14" s="392" t="s">
        <v>1027</v>
      </c>
      <c r="D14" s="529" t="s">
        <v>1028</v>
      </c>
      <c r="E14" s="155" t="s">
        <v>806</v>
      </c>
      <c r="F14" s="380">
        <v>1</v>
      </c>
      <c r="G14" s="157">
        <f>1546.03*1.1138</f>
        <v>1721.9682139999998</v>
      </c>
      <c r="H14" s="158">
        <f t="shared" si="0"/>
        <v>2184.3200000000002</v>
      </c>
      <c r="I14" s="156">
        <f t="shared" si="1"/>
        <v>2184.3200000000002</v>
      </c>
    </row>
    <row r="15" spans="1:20" ht="51">
      <c r="A15" s="510"/>
      <c r="B15" s="154" t="s">
        <v>108</v>
      </c>
      <c r="C15" s="392" t="s">
        <v>15</v>
      </c>
      <c r="D15" s="527" t="s">
        <v>1126</v>
      </c>
      <c r="E15" s="155" t="s">
        <v>805</v>
      </c>
      <c r="F15" s="382">
        <v>10</v>
      </c>
      <c r="G15" s="158">
        <v>265</v>
      </c>
      <c r="H15" s="158">
        <f t="shared" si="0"/>
        <v>336.15</v>
      </c>
      <c r="I15" s="158">
        <f t="shared" si="1"/>
        <v>3361.5</v>
      </c>
      <c r="K15" s="368"/>
    </row>
    <row r="16" spans="1:20" ht="51">
      <c r="A16" s="510"/>
      <c r="B16" s="154" t="s">
        <v>1044</v>
      </c>
      <c r="C16" s="392" t="s">
        <v>673</v>
      </c>
      <c r="D16" s="527" t="s">
        <v>802</v>
      </c>
      <c r="E16" s="155" t="s">
        <v>805</v>
      </c>
      <c r="F16" s="158">
        <v>2253.86</v>
      </c>
      <c r="G16" s="158">
        <f>5.2*1.0589</f>
        <v>5.5062800000000003</v>
      </c>
      <c r="H16" s="158">
        <f t="shared" si="0"/>
        <v>6.98</v>
      </c>
      <c r="I16" s="158">
        <f t="shared" si="1"/>
        <v>15731.94</v>
      </c>
      <c r="K16" s="63"/>
      <c r="L16" s="63"/>
      <c r="M16" s="63"/>
      <c r="N16" s="63"/>
      <c r="O16" s="63"/>
      <c r="P16" s="63"/>
      <c r="Q16" s="63"/>
      <c r="R16" s="63"/>
      <c r="S16" s="63"/>
      <c r="T16" s="63"/>
    </row>
    <row r="17" spans="1:20" s="432" customFormat="1" ht="25.5">
      <c r="A17" s="510"/>
      <c r="B17" s="320" t="s">
        <v>1166</v>
      </c>
      <c r="C17" s="393" t="s">
        <v>861</v>
      </c>
      <c r="D17" s="528" t="s">
        <v>1179</v>
      </c>
      <c r="E17" s="346" t="s">
        <v>1178</v>
      </c>
      <c r="F17" s="347">
        <v>8</v>
      </c>
      <c r="G17" s="347">
        <v>800</v>
      </c>
      <c r="H17" s="347">
        <f t="shared" si="0"/>
        <v>1014.8</v>
      </c>
      <c r="I17" s="347">
        <f t="shared" si="1"/>
        <v>8118.4</v>
      </c>
      <c r="K17" s="244"/>
      <c r="L17" s="244"/>
      <c r="M17" s="244"/>
      <c r="N17" s="244"/>
      <c r="O17" s="244"/>
      <c r="P17" s="244"/>
      <c r="Q17" s="244"/>
      <c r="R17" s="244"/>
      <c r="S17" s="244"/>
      <c r="T17" s="244"/>
    </row>
    <row r="18" spans="1:20">
      <c r="A18" s="510"/>
      <c r="B18" s="518" t="s">
        <v>18</v>
      </c>
      <c r="C18" s="159"/>
      <c r="D18" s="230" t="s">
        <v>689</v>
      </c>
      <c r="E18" s="146"/>
      <c r="F18" s="146"/>
      <c r="G18" s="146"/>
      <c r="H18" s="146"/>
      <c r="I18" s="499">
        <f>SUM(I19:I21)</f>
        <v>15101.42</v>
      </c>
      <c r="K18" s="63"/>
      <c r="L18" s="63"/>
      <c r="M18" s="63"/>
      <c r="N18" s="63"/>
      <c r="O18" s="63"/>
      <c r="P18" s="63"/>
      <c r="Q18" s="63"/>
      <c r="R18" s="63"/>
      <c r="S18" s="63"/>
      <c r="T18" s="63"/>
    </row>
    <row r="19" spans="1:20" s="142" customFormat="1" ht="25.5">
      <c r="A19" s="510"/>
      <c r="B19" s="315" t="s">
        <v>19</v>
      </c>
      <c r="C19" s="390" t="s">
        <v>850</v>
      </c>
      <c r="D19" s="357" t="s">
        <v>1252</v>
      </c>
      <c r="E19" s="348" t="s">
        <v>805</v>
      </c>
      <c r="F19" s="381">
        <v>2253.86</v>
      </c>
      <c r="G19" s="319">
        <v>4.05</v>
      </c>
      <c r="H19" s="349">
        <f t="shared" si="0"/>
        <v>5.14</v>
      </c>
      <c r="I19" s="349">
        <f>ROUND(F19*H19,2)</f>
        <v>11584.84</v>
      </c>
      <c r="K19" s="143"/>
      <c r="L19" s="143"/>
      <c r="M19" s="143"/>
      <c r="N19" s="143"/>
      <c r="O19" s="143"/>
      <c r="P19" s="143"/>
      <c r="Q19" s="143"/>
      <c r="R19" s="143"/>
      <c r="S19" s="143"/>
      <c r="T19" s="143"/>
    </row>
    <row r="20" spans="1:20" s="142" customFormat="1" ht="51">
      <c r="A20" s="510"/>
      <c r="B20" s="154" t="s">
        <v>21</v>
      </c>
      <c r="C20" s="489" t="s">
        <v>851</v>
      </c>
      <c r="D20" s="533" t="s">
        <v>1260</v>
      </c>
      <c r="E20" s="477" t="s">
        <v>805</v>
      </c>
      <c r="F20" s="490">
        <v>2253.86</v>
      </c>
      <c r="G20" s="156">
        <f>Composição!G25</f>
        <v>0.87749999999999995</v>
      </c>
      <c r="H20" s="158">
        <f>ROUND(G20*1.2685,2)</f>
        <v>1.1100000000000001</v>
      </c>
      <c r="I20" s="158">
        <f>ROUND(F20*H20,2)</f>
        <v>2501.7800000000002</v>
      </c>
      <c r="K20" s="143"/>
      <c r="L20" s="143"/>
      <c r="M20" s="143"/>
      <c r="N20" s="143"/>
      <c r="O20" s="143"/>
      <c r="P20" s="143"/>
      <c r="Q20" s="143"/>
      <c r="R20" s="143"/>
      <c r="S20" s="143"/>
      <c r="T20" s="143"/>
    </row>
    <row r="21" spans="1:20" s="447" customFormat="1" ht="25.5">
      <c r="A21" s="510"/>
      <c r="B21" s="320" t="s">
        <v>1230</v>
      </c>
      <c r="C21" s="353" t="s">
        <v>861</v>
      </c>
      <c r="D21" s="402" t="s">
        <v>1119</v>
      </c>
      <c r="E21" s="322" t="s">
        <v>806</v>
      </c>
      <c r="F21" s="347">
        <v>1</v>
      </c>
      <c r="G21" s="323">
        <v>800</v>
      </c>
      <c r="H21" s="323">
        <f>ROUND(G21*1.2685,2)</f>
        <v>1014.8</v>
      </c>
      <c r="I21" s="323">
        <f>ROUND(F21*H21,2)</f>
        <v>1014.8</v>
      </c>
      <c r="K21" s="244"/>
      <c r="L21" s="244"/>
      <c r="M21" s="244"/>
      <c r="N21" s="244"/>
      <c r="O21" s="244"/>
      <c r="P21" s="244"/>
      <c r="Q21" s="244"/>
      <c r="R21" s="244"/>
      <c r="S21" s="244"/>
      <c r="T21" s="244"/>
    </row>
    <row r="22" spans="1:20" s="205" customFormat="1">
      <c r="A22" s="510"/>
      <c r="B22" s="518" t="s">
        <v>22</v>
      </c>
      <c r="C22" s="159"/>
      <c r="D22" s="146" t="s">
        <v>421</v>
      </c>
      <c r="E22" s="146"/>
      <c r="F22" s="146"/>
      <c r="G22" s="146"/>
      <c r="H22" s="146"/>
      <c r="I22" s="499">
        <f>SUM(I23)</f>
        <v>1659.18</v>
      </c>
      <c r="K22" s="206"/>
      <c r="L22" s="206"/>
      <c r="M22" s="206"/>
      <c r="N22" s="206"/>
      <c r="O22" s="206"/>
      <c r="P22" s="206"/>
      <c r="Q22" s="206"/>
      <c r="R22" s="206"/>
      <c r="S22" s="206"/>
      <c r="T22" s="206"/>
    </row>
    <row r="23" spans="1:20" s="205" customFormat="1" ht="25.5">
      <c r="A23" s="510"/>
      <c r="B23" s="324" t="s">
        <v>24</v>
      </c>
      <c r="C23" s="389" t="s">
        <v>675</v>
      </c>
      <c r="D23" s="530" t="s">
        <v>803</v>
      </c>
      <c r="E23" s="246" t="s">
        <v>807</v>
      </c>
      <c r="F23" s="247">
        <f>15.1962+16.13275</f>
        <v>31.328949999999999</v>
      </c>
      <c r="G23" s="247">
        <f>39.43*1.0589</f>
        <v>41.752426999999997</v>
      </c>
      <c r="H23" s="247">
        <f>ROUND(G23*1.2685,2)</f>
        <v>52.96</v>
      </c>
      <c r="I23" s="247">
        <f>ROUND(F23*H23,2)</f>
        <v>1659.18</v>
      </c>
      <c r="K23" s="206"/>
      <c r="L23" s="206"/>
      <c r="M23" s="206"/>
      <c r="N23" s="206"/>
      <c r="O23" s="206"/>
      <c r="P23" s="206"/>
      <c r="Q23" s="206"/>
      <c r="R23" s="206"/>
      <c r="S23" s="206"/>
      <c r="T23" s="206"/>
    </row>
    <row r="24" spans="1:20">
      <c r="A24" s="510"/>
      <c r="B24" s="519" t="s">
        <v>26</v>
      </c>
      <c r="C24" s="150"/>
      <c r="D24" s="151" t="s">
        <v>23</v>
      </c>
      <c r="E24" s="151"/>
      <c r="F24" s="151"/>
      <c r="G24" s="151"/>
      <c r="H24" s="151"/>
      <c r="I24" s="500">
        <f>SUM(I25:I27)</f>
        <v>120839.22</v>
      </c>
      <c r="K24" s="63"/>
      <c r="L24" s="63"/>
      <c r="M24" s="63"/>
      <c r="N24" s="63"/>
      <c r="O24" s="63"/>
      <c r="P24" s="63"/>
      <c r="Q24" s="63"/>
      <c r="R24" s="63"/>
      <c r="S24" s="63"/>
      <c r="T24" s="63"/>
    </row>
    <row r="25" spans="1:20" ht="76.5">
      <c r="A25" s="510"/>
      <c r="B25" s="315" t="s">
        <v>27</v>
      </c>
      <c r="C25" s="526" t="s">
        <v>1245</v>
      </c>
      <c r="D25" s="527" t="s">
        <v>1261</v>
      </c>
      <c r="E25" s="317" t="s">
        <v>808</v>
      </c>
      <c r="F25" s="349">
        <f>(54*20)+(43*20)</f>
        <v>1940</v>
      </c>
      <c r="G25" s="318">
        <v>47.06</v>
      </c>
      <c r="H25" s="319">
        <f>ROUND(G25*1.2685,2)</f>
        <v>59.7</v>
      </c>
      <c r="I25" s="319">
        <f>ROUND(F25*H25,2)</f>
        <v>115818</v>
      </c>
      <c r="K25" s="63"/>
      <c r="L25" s="63"/>
      <c r="M25" s="63"/>
      <c r="N25" s="63"/>
      <c r="O25" s="63"/>
      <c r="P25" s="63"/>
      <c r="Q25" s="63"/>
      <c r="R25" s="63"/>
      <c r="S25" s="63"/>
      <c r="T25" s="63"/>
    </row>
    <row r="26" spans="1:20" s="494" customFormat="1" ht="25.5">
      <c r="A26" s="510"/>
      <c r="B26" s="154" t="s">
        <v>1246</v>
      </c>
      <c r="C26" s="412" t="s">
        <v>1247</v>
      </c>
      <c r="D26" s="527" t="s">
        <v>1250</v>
      </c>
      <c r="E26" s="155" t="s">
        <v>806</v>
      </c>
      <c r="F26" s="158">
        <v>1</v>
      </c>
      <c r="G26" s="413">
        <f>628.13*1.1138</f>
        <v>699.61119399999995</v>
      </c>
      <c r="H26" s="156">
        <f>ROUND(G26*1.2685,2)</f>
        <v>887.46</v>
      </c>
      <c r="I26" s="156">
        <f>ROUND(F26*H26,2)</f>
        <v>887.46</v>
      </c>
      <c r="K26" s="244"/>
      <c r="L26" s="244"/>
      <c r="M26" s="244"/>
      <c r="N26" s="244"/>
      <c r="O26" s="244"/>
      <c r="P26" s="244"/>
      <c r="Q26" s="244"/>
      <c r="R26" s="244"/>
      <c r="S26" s="244"/>
      <c r="T26" s="244"/>
    </row>
    <row r="27" spans="1:20" s="494" customFormat="1" ht="38.25">
      <c r="A27" s="510"/>
      <c r="B27" s="320" t="s">
        <v>1251</v>
      </c>
      <c r="C27" s="524" t="s">
        <v>1248</v>
      </c>
      <c r="D27" s="527" t="s">
        <v>1262</v>
      </c>
      <c r="E27" s="346" t="s">
        <v>806</v>
      </c>
      <c r="F27" s="347">
        <f>54+42</f>
        <v>96</v>
      </c>
      <c r="G27" s="525">
        <f>30.48*1.1138</f>
        <v>33.948623999999995</v>
      </c>
      <c r="H27" s="156">
        <f>ROUND(G27*1.2685,2)</f>
        <v>43.06</v>
      </c>
      <c r="I27" s="156">
        <f>ROUND(F27*H27,2)</f>
        <v>4133.76</v>
      </c>
      <c r="K27" s="244"/>
      <c r="L27" s="244"/>
      <c r="M27" s="244"/>
      <c r="N27" s="244"/>
      <c r="O27" s="244"/>
      <c r="P27" s="244"/>
      <c r="Q27" s="244"/>
      <c r="R27" s="244"/>
      <c r="S27" s="244"/>
      <c r="T27" s="244"/>
    </row>
    <row r="28" spans="1:20">
      <c r="A28" s="510"/>
      <c r="B28" s="517" t="s">
        <v>29</v>
      </c>
      <c r="C28" s="152"/>
      <c r="D28" s="153" t="s">
        <v>387</v>
      </c>
      <c r="E28" s="153"/>
      <c r="F28" s="153"/>
      <c r="G28" s="153"/>
      <c r="H28" s="153"/>
      <c r="I28" s="498">
        <f>SUM(I29:I35)</f>
        <v>284893.12000000005</v>
      </c>
      <c r="K28" s="63"/>
      <c r="L28" s="63"/>
      <c r="M28" s="63"/>
      <c r="N28" s="63"/>
      <c r="O28" s="63"/>
      <c r="P28" s="63"/>
      <c r="Q28" s="63"/>
      <c r="R28" s="63"/>
      <c r="S28" s="63"/>
      <c r="T28" s="63"/>
    </row>
    <row r="29" spans="1:20" ht="25.5">
      <c r="A29" s="510"/>
      <c r="B29" s="315" t="s">
        <v>31</v>
      </c>
      <c r="C29" s="396" t="s">
        <v>389</v>
      </c>
      <c r="D29" s="357" t="s">
        <v>1030</v>
      </c>
      <c r="E29" s="317" t="s">
        <v>438</v>
      </c>
      <c r="F29" s="319">
        <f>([1]Plan1!C17)+'Quantitativo '!D310+'Quantitativo '!D311+'Quantitativo '!D312+(120.03)</f>
        <v>10935.612000000003</v>
      </c>
      <c r="G29" s="319">
        <f>7.4*1.1138</f>
        <v>8.2421199999999999</v>
      </c>
      <c r="H29" s="319">
        <f>ROUND(G29*1.2685,2)</f>
        <v>10.46</v>
      </c>
      <c r="I29" s="319">
        <f>ROUND(F29*H29,2)</f>
        <v>114386.5</v>
      </c>
      <c r="K29" s="63"/>
      <c r="L29" s="63"/>
      <c r="M29" s="63"/>
      <c r="N29" s="63"/>
      <c r="O29" s="63"/>
      <c r="P29" s="63"/>
      <c r="Q29" s="63"/>
      <c r="R29" s="63"/>
      <c r="S29" s="63"/>
      <c r="T29" s="63"/>
    </row>
    <row r="30" spans="1:20" ht="33.75" customHeight="1">
      <c r="A30" s="510"/>
      <c r="B30" s="154" t="s">
        <v>32</v>
      </c>
      <c r="C30" s="412" t="s">
        <v>388</v>
      </c>
      <c r="D30" s="527" t="s">
        <v>804</v>
      </c>
      <c r="E30" s="155" t="s">
        <v>438</v>
      </c>
      <c r="F30" s="156">
        <f>([1]Plan1!B17)+'Quantitativo '!D309</f>
        <v>370.00319999999999</v>
      </c>
      <c r="G30" s="413">
        <f>7.28*1.1138</f>
        <v>8.1084639999999997</v>
      </c>
      <c r="H30" s="156">
        <f t="shared" ref="H30:H35" si="2">ROUND(G30*1.2685,2)</f>
        <v>10.29</v>
      </c>
      <c r="I30" s="156">
        <f t="shared" ref="I30:I35" si="3">ROUND(F30*H30,2)</f>
        <v>3807.33</v>
      </c>
      <c r="K30" s="63"/>
      <c r="L30" s="63"/>
      <c r="M30" s="63"/>
      <c r="N30" s="63"/>
      <c r="O30" s="63"/>
      <c r="P30" s="63"/>
      <c r="Q30" s="63"/>
      <c r="R30" s="63"/>
      <c r="S30" s="63"/>
      <c r="T30" s="63"/>
    </row>
    <row r="31" spans="1:20" ht="51">
      <c r="A31" s="510"/>
      <c r="B31" s="154" t="s">
        <v>449</v>
      </c>
      <c r="C31" s="165" t="s">
        <v>852</v>
      </c>
      <c r="D31" s="527" t="s">
        <v>1033</v>
      </c>
      <c r="E31" s="155" t="s">
        <v>805</v>
      </c>
      <c r="F31" s="158">
        <f>([1]Plan1!D17)</f>
        <v>1035.0999999999999</v>
      </c>
      <c r="G31" s="156">
        <v>25.74</v>
      </c>
      <c r="H31" s="156">
        <f t="shared" si="2"/>
        <v>32.65</v>
      </c>
      <c r="I31" s="156">
        <f t="shared" si="3"/>
        <v>33796.019999999997</v>
      </c>
      <c r="K31" s="63"/>
      <c r="L31" s="63"/>
      <c r="M31" s="63"/>
      <c r="N31" s="63"/>
      <c r="O31" s="63"/>
      <c r="P31" s="63"/>
      <c r="Q31" s="63"/>
      <c r="R31" s="63"/>
      <c r="S31" s="63"/>
      <c r="T31" s="63"/>
    </row>
    <row r="32" spans="1:20" ht="38.25">
      <c r="A32" s="510"/>
      <c r="B32" s="154" t="s">
        <v>450</v>
      </c>
      <c r="C32" s="165" t="s">
        <v>853</v>
      </c>
      <c r="D32" s="527" t="s">
        <v>862</v>
      </c>
      <c r="E32" s="160" t="s">
        <v>807</v>
      </c>
      <c r="F32" s="158">
        <f>137.81+'Quantitativo '!G301+0.735</f>
        <v>162.16220000000001</v>
      </c>
      <c r="G32" s="156">
        <f>370.37*1.1138</f>
        <v>412.51810599999999</v>
      </c>
      <c r="H32" s="156">
        <f t="shared" si="2"/>
        <v>523.28</v>
      </c>
      <c r="I32" s="156">
        <f t="shared" si="3"/>
        <v>84856.24</v>
      </c>
      <c r="J32" s="244"/>
      <c r="K32" s="244"/>
      <c r="L32" s="63"/>
      <c r="M32" s="63"/>
      <c r="N32" s="63"/>
      <c r="O32" s="63"/>
      <c r="P32" s="63"/>
      <c r="Q32" s="63"/>
      <c r="R32" s="63"/>
      <c r="S32" s="63"/>
      <c r="T32" s="63"/>
    </row>
    <row r="33" spans="1:20" s="283" customFormat="1" ht="25.5">
      <c r="A33" s="510"/>
      <c r="B33" s="154" t="s">
        <v>451</v>
      </c>
      <c r="C33" s="165" t="s">
        <v>757</v>
      </c>
      <c r="D33" s="527" t="s">
        <v>863</v>
      </c>
      <c r="E33" s="160" t="s">
        <v>807</v>
      </c>
      <c r="F33" s="158">
        <f>0.324+4.95</f>
        <v>5.274</v>
      </c>
      <c r="G33" s="156">
        <f>2743.88*1.0589</f>
        <v>2905.4945320000002</v>
      </c>
      <c r="H33" s="156">
        <f t="shared" si="2"/>
        <v>3685.62</v>
      </c>
      <c r="I33" s="156">
        <f t="shared" si="3"/>
        <v>19437.96</v>
      </c>
      <c r="J33" s="244"/>
      <c r="K33" s="244"/>
      <c r="L33" s="244"/>
      <c r="M33" s="244"/>
      <c r="N33" s="244"/>
      <c r="O33" s="244"/>
      <c r="P33" s="244"/>
      <c r="Q33" s="244"/>
      <c r="R33" s="244"/>
      <c r="S33" s="244"/>
      <c r="T33" s="244"/>
    </row>
    <row r="34" spans="1:20" ht="38.25">
      <c r="A34" s="510"/>
      <c r="B34" s="154" t="s">
        <v>1029</v>
      </c>
      <c r="C34" s="165" t="s">
        <v>854</v>
      </c>
      <c r="D34" s="527" t="s">
        <v>864</v>
      </c>
      <c r="E34" s="155" t="s">
        <v>805</v>
      </c>
      <c r="F34" s="382">
        <v>244.14</v>
      </c>
      <c r="G34" s="156">
        <v>88.82</v>
      </c>
      <c r="H34" s="156">
        <f t="shared" si="2"/>
        <v>112.67</v>
      </c>
      <c r="I34" s="156">
        <f t="shared" si="3"/>
        <v>27507.25</v>
      </c>
      <c r="K34" s="63"/>
      <c r="L34" s="63"/>
      <c r="M34" s="63"/>
      <c r="N34" s="63"/>
      <c r="O34" s="63"/>
      <c r="P34" s="63"/>
      <c r="Q34" s="63"/>
      <c r="R34" s="63"/>
      <c r="S34" s="63"/>
      <c r="T34" s="63"/>
    </row>
    <row r="35" spans="1:20" s="417" customFormat="1" ht="63.75">
      <c r="A35" s="510"/>
      <c r="B35" s="320" t="s">
        <v>1148</v>
      </c>
      <c r="C35" s="388" t="s">
        <v>1176</v>
      </c>
      <c r="D35" s="528" t="s">
        <v>1177</v>
      </c>
      <c r="E35" s="346" t="s">
        <v>807</v>
      </c>
      <c r="F35" s="446">
        <f>'Quantitativo '!H280</f>
        <v>0.28990000000000005</v>
      </c>
      <c r="G35" s="323">
        <f>2829.55*1.0589</f>
        <v>2996.2104950000003</v>
      </c>
      <c r="H35" s="323">
        <f t="shared" si="2"/>
        <v>3800.69</v>
      </c>
      <c r="I35" s="323">
        <f t="shared" si="3"/>
        <v>1101.82</v>
      </c>
      <c r="K35" s="244"/>
      <c r="L35" s="244"/>
      <c r="M35" s="244"/>
      <c r="N35" s="244"/>
      <c r="O35" s="244"/>
      <c r="P35" s="244"/>
      <c r="Q35" s="244"/>
      <c r="R35" s="244"/>
      <c r="S35" s="244"/>
      <c r="T35" s="244"/>
    </row>
    <row r="36" spans="1:20">
      <c r="A36" s="510"/>
      <c r="B36" s="518" t="s">
        <v>33</v>
      </c>
      <c r="C36" s="159"/>
      <c r="D36" s="146" t="s">
        <v>30</v>
      </c>
      <c r="E36" s="146"/>
      <c r="F36" s="146"/>
      <c r="G36" s="146"/>
      <c r="H36" s="430"/>
      <c r="I36" s="434">
        <f>SUM(I37:I40)</f>
        <v>63481.78</v>
      </c>
      <c r="J36" s="244"/>
      <c r="K36" s="244"/>
      <c r="L36" s="244"/>
      <c r="M36" s="244"/>
      <c r="N36" s="63"/>
      <c r="O36" s="63"/>
      <c r="P36" s="63"/>
      <c r="Q36" s="63"/>
      <c r="R36" s="63"/>
      <c r="S36" s="63"/>
      <c r="T36" s="63"/>
    </row>
    <row r="37" spans="1:20" ht="63.75">
      <c r="A37" s="510"/>
      <c r="B37" s="315" t="s">
        <v>35</v>
      </c>
      <c r="C37" s="325" t="s">
        <v>855</v>
      </c>
      <c r="D37" s="358" t="s">
        <v>1041</v>
      </c>
      <c r="E37" s="326" t="s">
        <v>805</v>
      </c>
      <c r="F37" s="349">
        <f>597.16+(5.33-(2*1.4*0.7+(1.6*0.7))+(3.034-0.7))</f>
        <v>601.74399999999991</v>
      </c>
      <c r="G37" s="319">
        <v>66.87</v>
      </c>
      <c r="H37" s="319">
        <f>ROUND(G37*1.2685,2)</f>
        <v>84.82</v>
      </c>
      <c r="I37" s="319">
        <f>ROUND(F37*H37,2)</f>
        <v>51039.93</v>
      </c>
      <c r="K37" s="63"/>
      <c r="L37" s="63"/>
      <c r="M37" s="63"/>
      <c r="N37" s="63"/>
      <c r="O37" s="63"/>
      <c r="P37" s="63"/>
      <c r="Q37" s="63"/>
      <c r="R37" s="63"/>
      <c r="S37" s="63"/>
      <c r="T37" s="63"/>
    </row>
    <row r="38" spans="1:20" ht="38.25">
      <c r="A38" s="510"/>
      <c r="B38" s="154" t="s">
        <v>36</v>
      </c>
      <c r="C38" s="161" t="s">
        <v>856</v>
      </c>
      <c r="D38" s="359" t="s">
        <v>1034</v>
      </c>
      <c r="E38" s="160" t="s">
        <v>808</v>
      </c>
      <c r="F38" s="158">
        <v>187.48</v>
      </c>
      <c r="G38" s="156">
        <v>38.08</v>
      </c>
      <c r="H38" s="156">
        <f>ROUND(G38*1.2685,2)</f>
        <v>48.3</v>
      </c>
      <c r="I38" s="156">
        <f>ROUND(F38*H38,2)</f>
        <v>9055.2800000000007</v>
      </c>
      <c r="K38" s="63"/>
      <c r="L38" s="63"/>
      <c r="M38" s="63"/>
      <c r="N38" s="63"/>
      <c r="O38" s="63"/>
      <c r="P38" s="63"/>
      <c r="Q38" s="63"/>
      <c r="R38" s="63"/>
      <c r="S38" s="63"/>
      <c r="T38" s="63"/>
    </row>
    <row r="39" spans="1:20" s="241" customFormat="1" ht="40.5" customHeight="1">
      <c r="A39" s="510"/>
      <c r="B39" s="154" t="s">
        <v>586</v>
      </c>
      <c r="C39" s="161" t="s">
        <v>857</v>
      </c>
      <c r="D39" s="359" t="s">
        <v>846</v>
      </c>
      <c r="E39" s="160" t="s">
        <v>805</v>
      </c>
      <c r="F39" s="158">
        <f>'Quantitativo '!N13</f>
        <v>30.880000000000003</v>
      </c>
      <c r="G39" s="158">
        <v>59.36</v>
      </c>
      <c r="H39" s="156">
        <f>ROUND(G39*1.2685,2)</f>
        <v>75.3</v>
      </c>
      <c r="I39" s="156">
        <f>ROUND(F39*H39,2)</f>
        <v>2325.2600000000002</v>
      </c>
      <c r="K39" s="242"/>
      <c r="L39" s="242"/>
      <c r="M39" s="242"/>
      <c r="N39" s="242"/>
      <c r="O39" s="242"/>
      <c r="P39" s="242"/>
      <c r="Q39" s="242"/>
      <c r="R39" s="242"/>
      <c r="S39" s="242"/>
      <c r="T39" s="242"/>
    </row>
    <row r="40" spans="1:20" s="277" customFormat="1" ht="43.5" customHeight="1">
      <c r="A40" s="510"/>
      <c r="B40" s="320" t="s">
        <v>751</v>
      </c>
      <c r="C40" s="321" t="s">
        <v>858</v>
      </c>
      <c r="D40" s="360" t="s">
        <v>847</v>
      </c>
      <c r="E40" s="322" t="s">
        <v>805</v>
      </c>
      <c r="F40" s="347">
        <f>'Quantitativo '!N14+(1.98*2)</f>
        <v>16.48</v>
      </c>
      <c r="G40" s="347">
        <v>50.77</v>
      </c>
      <c r="H40" s="323">
        <f>ROUND(G40*1.2685,2)</f>
        <v>64.400000000000006</v>
      </c>
      <c r="I40" s="323">
        <f>ROUND(F40*H40,2)</f>
        <v>1061.31</v>
      </c>
      <c r="K40" s="244"/>
      <c r="L40" s="244"/>
      <c r="M40" s="244"/>
      <c r="N40" s="244"/>
      <c r="O40" s="244"/>
      <c r="P40" s="244"/>
      <c r="Q40" s="244"/>
      <c r="R40" s="244"/>
      <c r="S40" s="244"/>
      <c r="T40" s="244"/>
    </row>
    <row r="41" spans="1:20" s="181" customFormat="1">
      <c r="A41" s="510"/>
      <c r="B41" s="518" t="s">
        <v>452</v>
      </c>
      <c r="C41" s="159"/>
      <c r="D41" s="146" t="s">
        <v>74</v>
      </c>
      <c r="E41" s="146"/>
      <c r="F41" s="146"/>
      <c r="G41" s="146"/>
      <c r="H41" s="146"/>
      <c r="I41" s="499">
        <f>SUM(I42:I67)</f>
        <v>100621.04000000001</v>
      </c>
      <c r="K41" s="182"/>
      <c r="L41" s="182"/>
      <c r="M41" s="182"/>
      <c r="N41" s="182"/>
      <c r="O41" s="182"/>
      <c r="P41" s="182"/>
      <c r="Q41" s="182"/>
      <c r="R41" s="182"/>
      <c r="S41" s="182"/>
      <c r="T41" s="182"/>
    </row>
    <row r="42" spans="1:20" s="181" customFormat="1">
      <c r="A42" s="510"/>
      <c r="B42" s="327" t="s">
        <v>38</v>
      </c>
      <c r="C42" s="325" t="s">
        <v>859</v>
      </c>
      <c r="D42" s="425" t="s">
        <v>865</v>
      </c>
      <c r="E42" s="328" t="s">
        <v>806</v>
      </c>
      <c r="F42" s="426">
        <v>12</v>
      </c>
      <c r="G42" s="329">
        <v>263.75</v>
      </c>
      <c r="H42" s="319">
        <f t="shared" ref="H42:H67" si="4">ROUND(G42*1.2685,2)</f>
        <v>334.57</v>
      </c>
      <c r="I42" s="329">
        <f t="shared" ref="I42:I67" si="5">ROUND(F42*H42,2)</f>
        <v>4014.84</v>
      </c>
      <c r="K42" s="182"/>
      <c r="L42" s="182"/>
      <c r="M42" s="182"/>
      <c r="N42" s="182"/>
      <c r="O42" s="182"/>
      <c r="P42" s="182"/>
      <c r="Q42" s="182"/>
      <c r="R42" s="182"/>
      <c r="S42" s="182"/>
      <c r="T42" s="182"/>
    </row>
    <row r="43" spans="1:20" s="181" customFormat="1">
      <c r="A43" s="510"/>
      <c r="B43" s="414" t="s">
        <v>39</v>
      </c>
      <c r="C43" s="161" t="s">
        <v>860</v>
      </c>
      <c r="D43" s="423" t="s">
        <v>866</v>
      </c>
      <c r="E43" s="168" t="s">
        <v>806</v>
      </c>
      <c r="F43" s="427">
        <v>1</v>
      </c>
      <c r="G43" s="169">
        <v>264.94</v>
      </c>
      <c r="H43" s="156">
        <f t="shared" si="4"/>
        <v>336.08</v>
      </c>
      <c r="I43" s="166">
        <f t="shared" si="5"/>
        <v>336.08</v>
      </c>
      <c r="K43" s="182"/>
      <c r="L43" s="182"/>
      <c r="M43" s="182"/>
      <c r="N43" s="182"/>
      <c r="O43" s="182"/>
      <c r="P43" s="182"/>
      <c r="Q43" s="182"/>
      <c r="R43" s="182"/>
      <c r="S43" s="182"/>
      <c r="T43" s="182"/>
    </row>
    <row r="44" spans="1:20" s="181" customFormat="1" ht="25.5">
      <c r="A44" s="510"/>
      <c r="B44" s="414" t="s">
        <v>40</v>
      </c>
      <c r="C44" s="161" t="s">
        <v>861</v>
      </c>
      <c r="D44" s="423" t="s">
        <v>867</v>
      </c>
      <c r="E44" s="168" t="s">
        <v>806</v>
      </c>
      <c r="F44" s="428">
        <v>1</v>
      </c>
      <c r="G44" s="166">
        <f>675.55*1.1</f>
        <v>743.10500000000002</v>
      </c>
      <c r="H44" s="156">
        <f t="shared" si="4"/>
        <v>942.63</v>
      </c>
      <c r="I44" s="166">
        <f t="shared" si="5"/>
        <v>942.63</v>
      </c>
      <c r="K44" s="182"/>
      <c r="L44" s="182"/>
      <c r="M44" s="182"/>
      <c r="N44" s="182"/>
      <c r="O44" s="182"/>
      <c r="P44" s="182"/>
      <c r="Q44" s="182"/>
      <c r="R44" s="182"/>
      <c r="S44" s="182"/>
      <c r="T44" s="182"/>
    </row>
    <row r="45" spans="1:20" s="181" customFormat="1">
      <c r="A45" s="510"/>
      <c r="B45" s="414" t="s">
        <v>41</v>
      </c>
      <c r="C45" s="161" t="s">
        <v>861</v>
      </c>
      <c r="D45" s="423" t="s">
        <v>868</v>
      </c>
      <c r="E45" s="168" t="s">
        <v>806</v>
      </c>
      <c r="F45" s="428">
        <v>3</v>
      </c>
      <c r="G45" s="166">
        <v>650</v>
      </c>
      <c r="H45" s="156">
        <f t="shared" si="4"/>
        <v>824.53</v>
      </c>
      <c r="I45" s="166">
        <f t="shared" si="5"/>
        <v>2473.59</v>
      </c>
      <c r="K45" s="182"/>
      <c r="L45" s="182"/>
      <c r="M45" s="182"/>
      <c r="N45" s="182"/>
      <c r="O45" s="182"/>
      <c r="P45" s="182"/>
      <c r="Q45" s="182"/>
      <c r="R45" s="182"/>
      <c r="S45" s="182"/>
      <c r="T45" s="182"/>
    </row>
    <row r="46" spans="1:20" s="181" customFormat="1" ht="25.5">
      <c r="A46" s="510"/>
      <c r="B46" s="414" t="s">
        <v>399</v>
      </c>
      <c r="C46" s="161">
        <v>91341</v>
      </c>
      <c r="D46" s="423" t="s">
        <v>869</v>
      </c>
      <c r="E46" s="168" t="s">
        <v>806</v>
      </c>
      <c r="F46" s="428">
        <v>2</v>
      </c>
      <c r="G46" s="166">
        <f>837.96*0.7*1.6</f>
        <v>938.51520000000005</v>
      </c>
      <c r="H46" s="156">
        <f t="shared" si="4"/>
        <v>1190.51</v>
      </c>
      <c r="I46" s="166">
        <f t="shared" si="5"/>
        <v>2381.02</v>
      </c>
      <c r="K46" s="182"/>
      <c r="L46" s="182"/>
      <c r="M46" s="182"/>
      <c r="N46" s="182"/>
      <c r="O46" s="182"/>
      <c r="P46" s="182"/>
      <c r="Q46" s="182"/>
      <c r="R46" s="182"/>
      <c r="S46" s="182"/>
      <c r="T46" s="182"/>
    </row>
    <row r="47" spans="1:20" s="181" customFormat="1" ht="25.5">
      <c r="A47" s="510"/>
      <c r="B47" s="414" t="s">
        <v>400</v>
      </c>
      <c r="C47" s="161">
        <v>91341</v>
      </c>
      <c r="D47" s="423" t="s">
        <v>870</v>
      </c>
      <c r="E47" s="168" t="s">
        <v>806</v>
      </c>
      <c r="F47" s="428">
        <v>1</v>
      </c>
      <c r="G47" s="166">
        <f>837.96*1.5*1.8</f>
        <v>2262.4920000000002</v>
      </c>
      <c r="H47" s="156">
        <f t="shared" si="4"/>
        <v>2869.97</v>
      </c>
      <c r="I47" s="166">
        <f t="shared" si="5"/>
        <v>2869.97</v>
      </c>
      <c r="K47" s="182"/>
      <c r="L47" s="182"/>
      <c r="M47" s="182"/>
      <c r="N47" s="182"/>
      <c r="O47" s="182"/>
      <c r="P47" s="182"/>
      <c r="Q47" s="182"/>
      <c r="R47" s="182"/>
      <c r="S47" s="182"/>
      <c r="T47" s="182"/>
    </row>
    <row r="48" spans="1:20" s="181" customFormat="1" ht="38.25">
      <c r="A48" s="510"/>
      <c r="B48" s="414" t="s">
        <v>401</v>
      </c>
      <c r="C48" s="161" t="s">
        <v>393</v>
      </c>
      <c r="D48" s="423" t="s">
        <v>871</v>
      </c>
      <c r="E48" s="168" t="s">
        <v>806</v>
      </c>
      <c r="F48" s="427">
        <v>1</v>
      </c>
      <c r="G48" s="169">
        <f>854.43*1.1138</f>
        <v>951.66413399999988</v>
      </c>
      <c r="H48" s="156">
        <f>ROUND(G48*1.2685,2)</f>
        <v>1207.19</v>
      </c>
      <c r="I48" s="166">
        <f>ROUND(F48*H48,2)</f>
        <v>1207.19</v>
      </c>
      <c r="K48" s="182"/>
      <c r="L48" s="182"/>
      <c r="M48" s="182"/>
      <c r="N48" s="182"/>
      <c r="O48" s="182"/>
      <c r="P48" s="182"/>
      <c r="Q48" s="182"/>
      <c r="R48" s="182"/>
      <c r="S48" s="182"/>
      <c r="T48" s="182"/>
    </row>
    <row r="49" spans="1:20" s="241" customFormat="1" ht="51">
      <c r="A49" s="510"/>
      <c r="B49" s="414" t="s">
        <v>453</v>
      </c>
      <c r="C49" s="161" t="s">
        <v>631</v>
      </c>
      <c r="D49" s="423" t="s">
        <v>1040</v>
      </c>
      <c r="E49" s="168" t="s">
        <v>805</v>
      </c>
      <c r="F49" s="428">
        <f>1.6*0.7</f>
        <v>1.1199999999999999</v>
      </c>
      <c r="G49" s="166">
        <f>720.07*1.1138</f>
        <v>802.01396599999998</v>
      </c>
      <c r="H49" s="156">
        <f>ROUND(G49*1.2685,2)</f>
        <v>1017.35</v>
      </c>
      <c r="I49" s="166">
        <f>ROUND(F49*H49,2)</f>
        <v>1139.43</v>
      </c>
      <c r="K49" s="242"/>
      <c r="L49" s="242"/>
      <c r="M49" s="242"/>
      <c r="N49" s="242"/>
      <c r="O49" s="242"/>
      <c r="P49" s="242"/>
      <c r="Q49" s="242"/>
      <c r="R49" s="242"/>
      <c r="S49" s="242"/>
      <c r="T49" s="242"/>
    </row>
    <row r="50" spans="1:20" s="259" customFormat="1" ht="51">
      <c r="A50" s="510"/>
      <c r="B50" s="414" t="s">
        <v>454</v>
      </c>
      <c r="C50" s="161" t="s">
        <v>631</v>
      </c>
      <c r="D50" s="423" t="s">
        <v>872</v>
      </c>
      <c r="E50" s="168" t="s">
        <v>805</v>
      </c>
      <c r="F50" s="428">
        <f>2*(1.4*0.7)</f>
        <v>1.9599999999999997</v>
      </c>
      <c r="G50" s="166">
        <f>720.07*1.1138</f>
        <v>802.01396599999998</v>
      </c>
      <c r="H50" s="156">
        <f>ROUND(G50*1.2685,2)</f>
        <v>1017.35</v>
      </c>
      <c r="I50" s="166">
        <f>ROUND(F50*H50,2)</f>
        <v>1994.01</v>
      </c>
      <c r="K50" s="244"/>
      <c r="L50" s="244"/>
      <c r="M50" s="244"/>
      <c r="N50" s="244"/>
      <c r="O50" s="244"/>
      <c r="P50" s="244"/>
      <c r="Q50" s="244"/>
      <c r="R50" s="244"/>
      <c r="S50" s="244"/>
      <c r="T50" s="244"/>
    </row>
    <row r="51" spans="1:20" s="259" customFormat="1" ht="63.75">
      <c r="A51" s="510"/>
      <c r="B51" s="414" t="s">
        <v>455</v>
      </c>
      <c r="C51" s="161" t="s">
        <v>630</v>
      </c>
      <c r="D51" s="423" t="s">
        <v>1180</v>
      </c>
      <c r="E51" s="160" t="s">
        <v>805</v>
      </c>
      <c r="F51" s="428">
        <f>4.2*2</f>
        <v>8.4</v>
      </c>
      <c r="G51" s="166">
        <f>344.2*1.1138</f>
        <v>383.36995999999994</v>
      </c>
      <c r="H51" s="156">
        <f>ROUND(G51*1.2685,2)</f>
        <v>486.3</v>
      </c>
      <c r="I51" s="166">
        <f>ROUND(F51*H51,2)</f>
        <v>4084.92</v>
      </c>
      <c r="K51" s="244"/>
      <c r="L51" s="244"/>
      <c r="M51" s="244"/>
      <c r="N51" s="244"/>
      <c r="O51" s="244"/>
      <c r="P51" s="244"/>
      <c r="Q51" s="244"/>
      <c r="R51" s="244"/>
      <c r="S51" s="244"/>
      <c r="T51" s="244"/>
    </row>
    <row r="52" spans="1:20" s="408" customFormat="1" ht="51">
      <c r="A52" s="510"/>
      <c r="B52" s="414" t="s">
        <v>456</v>
      </c>
      <c r="C52" s="161" t="s">
        <v>631</v>
      </c>
      <c r="D52" s="423" t="s">
        <v>1122</v>
      </c>
      <c r="E52" s="160" t="s">
        <v>805</v>
      </c>
      <c r="F52" s="428">
        <v>0.7</v>
      </c>
      <c r="G52" s="166">
        <f>720.07*1.1138</f>
        <v>802.01396599999998</v>
      </c>
      <c r="H52" s="156">
        <f>ROUND(G52*1.2685,2)</f>
        <v>1017.35</v>
      </c>
      <c r="I52" s="166">
        <f>ROUND(F52*H52,2)</f>
        <v>712.15</v>
      </c>
      <c r="K52" s="244"/>
      <c r="L52" s="244"/>
      <c r="M52" s="244"/>
      <c r="N52" s="244"/>
      <c r="O52" s="244"/>
      <c r="P52" s="244"/>
      <c r="Q52" s="244"/>
      <c r="R52" s="244"/>
      <c r="S52" s="244"/>
      <c r="T52" s="244"/>
    </row>
    <row r="53" spans="1:20" s="181" customFormat="1" ht="25.5">
      <c r="A53" s="510"/>
      <c r="B53" s="414" t="s">
        <v>457</v>
      </c>
      <c r="C53" s="161" t="s">
        <v>385</v>
      </c>
      <c r="D53" s="423" t="s">
        <v>873</v>
      </c>
      <c r="E53" s="168" t="s">
        <v>806</v>
      </c>
      <c r="F53" s="427">
        <v>1</v>
      </c>
      <c r="G53" s="166">
        <f>100.91*1.1138</f>
        <v>112.39355799999998</v>
      </c>
      <c r="H53" s="156">
        <f t="shared" si="4"/>
        <v>142.57</v>
      </c>
      <c r="I53" s="166">
        <f t="shared" si="5"/>
        <v>142.57</v>
      </c>
      <c r="K53" s="182"/>
      <c r="L53" s="182"/>
      <c r="M53" s="182"/>
      <c r="N53" s="182"/>
      <c r="O53" s="182"/>
      <c r="P53" s="182"/>
      <c r="Q53" s="182"/>
      <c r="R53" s="182"/>
      <c r="S53" s="182"/>
      <c r="T53" s="182"/>
    </row>
    <row r="54" spans="1:20" s="181" customFormat="1" ht="25.5">
      <c r="A54" s="510"/>
      <c r="B54" s="414" t="s">
        <v>458</v>
      </c>
      <c r="C54" s="161" t="s">
        <v>589</v>
      </c>
      <c r="D54" s="423" t="s">
        <v>874</v>
      </c>
      <c r="E54" s="168" t="s">
        <v>806</v>
      </c>
      <c r="F54" s="427">
        <v>2</v>
      </c>
      <c r="G54" s="166">
        <f>(311.69*4*2.1)*1.1138</f>
        <v>2916.1467047999995</v>
      </c>
      <c r="H54" s="156">
        <f t="shared" si="4"/>
        <v>3699.13</v>
      </c>
      <c r="I54" s="166">
        <f t="shared" si="5"/>
        <v>7398.26</v>
      </c>
      <c r="K54" s="182"/>
      <c r="L54" s="182"/>
      <c r="M54" s="182"/>
      <c r="N54" s="182"/>
      <c r="O54" s="182"/>
      <c r="P54" s="182"/>
      <c r="Q54" s="182"/>
      <c r="R54" s="182"/>
      <c r="S54" s="182"/>
      <c r="T54" s="182"/>
    </row>
    <row r="55" spans="1:20" s="181" customFormat="1" ht="25.5">
      <c r="A55" s="510"/>
      <c r="B55" s="414" t="s">
        <v>459</v>
      </c>
      <c r="C55" s="161" t="s">
        <v>877</v>
      </c>
      <c r="D55" s="423" t="s">
        <v>875</v>
      </c>
      <c r="E55" s="168" t="s">
        <v>806</v>
      </c>
      <c r="F55" s="428">
        <v>4</v>
      </c>
      <c r="G55" s="166">
        <v>886.56</v>
      </c>
      <c r="H55" s="156">
        <f t="shared" si="4"/>
        <v>1124.5999999999999</v>
      </c>
      <c r="I55" s="166">
        <f t="shared" si="5"/>
        <v>4498.3999999999996</v>
      </c>
      <c r="K55" s="182"/>
      <c r="L55" s="182"/>
      <c r="M55" s="182"/>
      <c r="N55" s="182"/>
      <c r="O55" s="182"/>
      <c r="P55" s="182"/>
      <c r="Q55" s="182"/>
      <c r="R55" s="182"/>
      <c r="S55" s="182"/>
      <c r="T55" s="182"/>
    </row>
    <row r="56" spans="1:20" s="181" customFormat="1" ht="25.5">
      <c r="A56" s="510"/>
      <c r="B56" s="414" t="s">
        <v>460</v>
      </c>
      <c r="C56" s="161" t="s">
        <v>878</v>
      </c>
      <c r="D56" s="423" t="s">
        <v>876</v>
      </c>
      <c r="E56" s="168" t="s">
        <v>806</v>
      </c>
      <c r="F56" s="428">
        <v>2</v>
      </c>
      <c r="G56" s="166">
        <v>725.37</v>
      </c>
      <c r="H56" s="156">
        <f t="shared" si="4"/>
        <v>920.13</v>
      </c>
      <c r="I56" s="166">
        <f t="shared" si="5"/>
        <v>1840.26</v>
      </c>
      <c r="K56" s="182"/>
      <c r="L56" s="182"/>
      <c r="M56" s="182"/>
      <c r="N56" s="182"/>
      <c r="O56" s="182"/>
      <c r="P56" s="182"/>
      <c r="Q56" s="182"/>
      <c r="R56" s="182"/>
      <c r="S56" s="182"/>
      <c r="T56" s="182"/>
    </row>
    <row r="57" spans="1:20" s="181" customFormat="1" ht="25.5">
      <c r="A57" s="510"/>
      <c r="B57" s="414" t="s">
        <v>461</v>
      </c>
      <c r="C57" s="161" t="s">
        <v>879</v>
      </c>
      <c r="D57" s="423" t="s">
        <v>883</v>
      </c>
      <c r="E57" s="168" t="s">
        <v>806</v>
      </c>
      <c r="F57" s="428">
        <v>2</v>
      </c>
      <c r="G57" s="166">
        <v>1618.65</v>
      </c>
      <c r="H57" s="156">
        <f t="shared" si="4"/>
        <v>2053.2600000000002</v>
      </c>
      <c r="I57" s="166">
        <f t="shared" si="5"/>
        <v>4106.5200000000004</v>
      </c>
      <c r="K57" s="182"/>
      <c r="L57" s="182"/>
      <c r="M57" s="182"/>
      <c r="N57" s="182"/>
      <c r="O57" s="182"/>
      <c r="P57" s="182"/>
      <c r="Q57" s="182"/>
      <c r="R57" s="182"/>
      <c r="S57" s="182"/>
      <c r="T57" s="182"/>
    </row>
    <row r="58" spans="1:20" s="181" customFormat="1" ht="25.5">
      <c r="A58" s="510"/>
      <c r="B58" s="414" t="s">
        <v>618</v>
      </c>
      <c r="C58" s="161" t="s">
        <v>878</v>
      </c>
      <c r="D58" s="423" t="s">
        <v>884</v>
      </c>
      <c r="E58" s="168" t="s">
        <v>806</v>
      </c>
      <c r="F58" s="428">
        <v>2</v>
      </c>
      <c r="G58" s="166">
        <v>1846.42</v>
      </c>
      <c r="H58" s="156">
        <f t="shared" si="4"/>
        <v>2342.1799999999998</v>
      </c>
      <c r="I58" s="166">
        <f t="shared" si="5"/>
        <v>4684.3599999999997</v>
      </c>
      <c r="K58" s="182"/>
      <c r="L58" s="182"/>
      <c r="M58" s="182"/>
      <c r="N58" s="182"/>
      <c r="O58" s="182"/>
      <c r="P58" s="182"/>
      <c r="Q58" s="182"/>
      <c r="R58" s="182"/>
      <c r="S58" s="182"/>
      <c r="T58" s="182"/>
    </row>
    <row r="59" spans="1:20" s="181" customFormat="1" ht="25.5">
      <c r="A59" s="510"/>
      <c r="B59" s="414" t="s">
        <v>462</v>
      </c>
      <c r="C59" s="161" t="s">
        <v>877</v>
      </c>
      <c r="D59" s="423" t="s">
        <v>885</v>
      </c>
      <c r="E59" s="168" t="s">
        <v>806</v>
      </c>
      <c r="F59" s="428">
        <v>2</v>
      </c>
      <c r="G59" s="166">
        <v>997.39</v>
      </c>
      <c r="H59" s="156">
        <f t="shared" si="4"/>
        <v>1265.19</v>
      </c>
      <c r="I59" s="166">
        <f t="shared" si="5"/>
        <v>2530.38</v>
      </c>
      <c r="K59" s="182"/>
      <c r="L59" s="182"/>
      <c r="M59" s="182"/>
      <c r="N59" s="182"/>
      <c r="O59" s="182"/>
      <c r="P59" s="182"/>
      <c r="Q59" s="182"/>
      <c r="R59" s="182"/>
      <c r="S59" s="182"/>
      <c r="T59" s="182"/>
    </row>
    <row r="60" spans="1:20" s="181" customFormat="1" ht="25.5">
      <c r="A60" s="510"/>
      <c r="B60" s="414" t="s">
        <v>463</v>
      </c>
      <c r="C60" s="161" t="s">
        <v>878</v>
      </c>
      <c r="D60" s="423" t="s">
        <v>886</v>
      </c>
      <c r="E60" s="168" t="s">
        <v>806</v>
      </c>
      <c r="F60" s="428">
        <v>11</v>
      </c>
      <c r="G60" s="166">
        <v>164.86</v>
      </c>
      <c r="H60" s="156">
        <f t="shared" si="4"/>
        <v>209.12</v>
      </c>
      <c r="I60" s="166">
        <f t="shared" si="5"/>
        <v>2300.3200000000002</v>
      </c>
      <c r="K60" s="182"/>
      <c r="L60" s="182"/>
      <c r="M60" s="182"/>
      <c r="N60" s="182"/>
      <c r="O60" s="182"/>
      <c r="P60" s="182"/>
      <c r="Q60" s="182"/>
      <c r="R60" s="182"/>
      <c r="S60" s="182"/>
      <c r="T60" s="182"/>
    </row>
    <row r="61" spans="1:20" s="181" customFormat="1" ht="25.5">
      <c r="A61" s="510"/>
      <c r="B61" s="414" t="s">
        <v>464</v>
      </c>
      <c r="C61" s="161" t="s">
        <v>878</v>
      </c>
      <c r="D61" s="423" t="s">
        <v>887</v>
      </c>
      <c r="E61" s="168" t="s">
        <v>806</v>
      </c>
      <c r="F61" s="428">
        <v>1</v>
      </c>
      <c r="G61" s="166">
        <v>109.91</v>
      </c>
      <c r="H61" s="156">
        <f t="shared" si="4"/>
        <v>139.41999999999999</v>
      </c>
      <c r="I61" s="166">
        <f t="shared" si="5"/>
        <v>139.41999999999999</v>
      </c>
      <c r="K61" s="182"/>
      <c r="L61" s="182"/>
      <c r="M61" s="182"/>
      <c r="N61" s="182"/>
      <c r="O61" s="182"/>
      <c r="P61" s="182"/>
      <c r="Q61" s="182"/>
      <c r="R61" s="182"/>
      <c r="S61" s="182"/>
      <c r="T61" s="182"/>
    </row>
    <row r="62" spans="1:20" s="181" customFormat="1">
      <c r="A62" s="510"/>
      <c r="B62" s="414" t="s">
        <v>465</v>
      </c>
      <c r="C62" s="161" t="s">
        <v>880</v>
      </c>
      <c r="D62" s="423" t="s">
        <v>1038</v>
      </c>
      <c r="E62" s="168" t="s">
        <v>805</v>
      </c>
      <c r="F62" s="428">
        <v>4.4000000000000004</v>
      </c>
      <c r="G62" s="350">
        <v>166.83</v>
      </c>
      <c r="H62" s="156">
        <f>ROUND(G62*1.2685,2)</f>
        <v>211.62</v>
      </c>
      <c r="I62" s="166">
        <f>ROUND(F62*H62,2)</f>
        <v>931.13</v>
      </c>
      <c r="K62" s="182"/>
      <c r="L62" s="182"/>
      <c r="M62" s="182"/>
      <c r="N62" s="182"/>
      <c r="O62" s="182"/>
      <c r="P62" s="182"/>
      <c r="Q62" s="182"/>
      <c r="R62" s="182"/>
      <c r="S62" s="182"/>
      <c r="T62" s="182"/>
    </row>
    <row r="63" spans="1:20" s="181" customFormat="1">
      <c r="A63" s="510"/>
      <c r="B63" s="414" t="s">
        <v>466</v>
      </c>
      <c r="C63" s="161" t="s">
        <v>861</v>
      </c>
      <c r="D63" s="423" t="s">
        <v>888</v>
      </c>
      <c r="E63" s="168" t="s">
        <v>806</v>
      </c>
      <c r="F63" s="428">
        <v>1</v>
      </c>
      <c r="G63" s="166">
        <v>290</v>
      </c>
      <c r="H63" s="156">
        <f t="shared" si="4"/>
        <v>367.87</v>
      </c>
      <c r="I63" s="166">
        <f t="shared" si="5"/>
        <v>367.87</v>
      </c>
      <c r="K63" s="182"/>
      <c r="L63" s="182"/>
      <c r="M63" s="182"/>
      <c r="N63" s="182"/>
      <c r="O63" s="182"/>
      <c r="P63" s="182"/>
      <c r="Q63" s="182"/>
      <c r="R63" s="182"/>
      <c r="S63" s="182"/>
      <c r="T63" s="182"/>
    </row>
    <row r="64" spans="1:20" s="181" customFormat="1" ht="25.5">
      <c r="A64" s="510"/>
      <c r="B64" s="414" t="s">
        <v>626</v>
      </c>
      <c r="C64" s="161" t="s">
        <v>881</v>
      </c>
      <c r="D64" s="423" t="s">
        <v>809</v>
      </c>
      <c r="E64" s="168" t="s">
        <v>806</v>
      </c>
      <c r="F64" s="428">
        <v>11</v>
      </c>
      <c r="G64" s="166">
        <v>91.71</v>
      </c>
      <c r="H64" s="156">
        <f t="shared" si="4"/>
        <v>116.33</v>
      </c>
      <c r="I64" s="166">
        <f t="shared" si="5"/>
        <v>1279.6300000000001</v>
      </c>
      <c r="K64" s="182"/>
      <c r="L64" s="182"/>
      <c r="M64" s="182"/>
      <c r="N64" s="182"/>
      <c r="O64" s="182"/>
      <c r="P64" s="182"/>
      <c r="Q64" s="182"/>
      <c r="R64" s="182"/>
      <c r="S64" s="182"/>
      <c r="T64" s="182"/>
    </row>
    <row r="65" spans="1:20" s="181" customFormat="1" ht="25.5">
      <c r="A65" s="510"/>
      <c r="B65" s="414" t="s">
        <v>628</v>
      </c>
      <c r="C65" s="161" t="s">
        <v>882</v>
      </c>
      <c r="D65" s="423" t="s">
        <v>1182</v>
      </c>
      <c r="E65" s="168" t="s">
        <v>806</v>
      </c>
      <c r="F65" s="428">
        <v>4</v>
      </c>
      <c r="G65" s="166">
        <v>71.78</v>
      </c>
      <c r="H65" s="156">
        <f t="shared" si="4"/>
        <v>91.05</v>
      </c>
      <c r="I65" s="166">
        <f t="shared" si="5"/>
        <v>364.2</v>
      </c>
      <c r="K65" s="182"/>
      <c r="L65" s="182"/>
      <c r="M65" s="182"/>
      <c r="N65" s="182"/>
      <c r="O65" s="182"/>
      <c r="P65" s="182"/>
      <c r="Q65" s="182"/>
      <c r="R65" s="182"/>
      <c r="S65" s="182"/>
      <c r="T65" s="182"/>
    </row>
    <row r="66" spans="1:20" s="181" customFormat="1" ht="25.5">
      <c r="A66" s="510"/>
      <c r="B66" s="414" t="s">
        <v>629</v>
      </c>
      <c r="C66" s="161" t="s">
        <v>861</v>
      </c>
      <c r="D66" s="423" t="s">
        <v>1181</v>
      </c>
      <c r="E66" s="168" t="s">
        <v>806</v>
      </c>
      <c r="F66" s="428">
        <v>3</v>
      </c>
      <c r="G66" s="166">
        <f>93.93*1.1138</f>
        <v>104.61923399999999</v>
      </c>
      <c r="H66" s="156">
        <f t="shared" si="4"/>
        <v>132.71</v>
      </c>
      <c r="I66" s="166">
        <f t="shared" si="5"/>
        <v>398.13</v>
      </c>
      <c r="K66" s="182"/>
      <c r="L66" s="182"/>
      <c r="M66" s="182"/>
      <c r="N66" s="182"/>
      <c r="O66" s="182"/>
      <c r="P66" s="182"/>
      <c r="Q66" s="182"/>
      <c r="R66" s="182"/>
      <c r="S66" s="182"/>
      <c r="T66" s="182"/>
    </row>
    <row r="67" spans="1:20" s="259" customFormat="1" ht="51">
      <c r="A67" s="510"/>
      <c r="B67" s="415" t="s">
        <v>1039</v>
      </c>
      <c r="C67" s="321" t="s">
        <v>627</v>
      </c>
      <c r="D67" s="424" t="s">
        <v>1042</v>
      </c>
      <c r="E67" s="322" t="s">
        <v>805</v>
      </c>
      <c r="F67" s="429">
        <v>119.45</v>
      </c>
      <c r="G67" s="340">
        <f>281.36*1.1138</f>
        <v>313.37876799999998</v>
      </c>
      <c r="H67" s="323">
        <f t="shared" si="4"/>
        <v>397.52</v>
      </c>
      <c r="I67" s="340">
        <f t="shared" si="5"/>
        <v>47483.76</v>
      </c>
      <c r="K67" s="244"/>
      <c r="L67" s="244"/>
      <c r="M67" s="244"/>
      <c r="N67" s="244"/>
      <c r="O67" s="244"/>
      <c r="P67" s="244"/>
      <c r="Q67" s="244"/>
      <c r="R67" s="244"/>
      <c r="S67" s="244"/>
      <c r="T67" s="244"/>
    </row>
    <row r="68" spans="1:20" s="213" customFormat="1">
      <c r="A68" s="510"/>
      <c r="B68" s="518" t="s">
        <v>42</v>
      </c>
      <c r="C68" s="159"/>
      <c r="D68" s="146" t="s">
        <v>34</v>
      </c>
      <c r="E68" s="146"/>
      <c r="F68" s="146"/>
      <c r="G68" s="146"/>
      <c r="H68" s="146"/>
      <c r="I68" s="499">
        <f>SUM(I69:I87)</f>
        <v>110732.87000000001</v>
      </c>
      <c r="K68" s="214"/>
      <c r="L68" s="214"/>
      <c r="M68" s="214"/>
      <c r="N68" s="214"/>
      <c r="O68" s="214"/>
      <c r="P68" s="214"/>
      <c r="Q68" s="214"/>
      <c r="R68" s="214"/>
      <c r="S68" s="214"/>
      <c r="T68" s="214"/>
    </row>
    <row r="69" spans="1:20" ht="25.5">
      <c r="A69" s="510"/>
      <c r="B69" s="315" t="s">
        <v>44</v>
      </c>
      <c r="C69" s="396" t="s">
        <v>889</v>
      </c>
      <c r="D69" s="358" t="s">
        <v>1045</v>
      </c>
      <c r="E69" s="326" t="s">
        <v>805</v>
      </c>
      <c r="F69" s="349">
        <f>'Quantitativo '!M85+(5.33-(2*1.4*0.7+(1.6*0.7))+(3.034-0.7))</f>
        <v>1480.2782</v>
      </c>
      <c r="G69" s="319">
        <v>3.13</v>
      </c>
      <c r="H69" s="319">
        <f t="shared" ref="H69:H83" si="6">ROUND(G69*1.2685,2)</f>
        <v>3.97</v>
      </c>
      <c r="I69" s="319">
        <f t="shared" ref="I69:I83" si="7">ROUND(F69*H69,2)</f>
        <v>5876.7</v>
      </c>
      <c r="J69" s="488"/>
      <c r="K69" s="487"/>
      <c r="L69" s="63"/>
      <c r="M69" s="63"/>
      <c r="N69" s="63"/>
      <c r="O69" s="63"/>
      <c r="P69" s="63"/>
      <c r="Q69" s="63"/>
      <c r="R69" s="63"/>
      <c r="S69" s="63"/>
      <c r="T69" s="63"/>
    </row>
    <row r="70" spans="1:20" ht="25.5">
      <c r="A70" s="510"/>
      <c r="B70" s="531" t="s">
        <v>45</v>
      </c>
      <c r="C70" s="387" t="s">
        <v>1253</v>
      </c>
      <c r="D70" s="359" t="s">
        <v>1257</v>
      </c>
      <c r="E70" s="160" t="s">
        <v>805</v>
      </c>
      <c r="F70" s="158">
        <f>F69</f>
        <v>1480.2782</v>
      </c>
      <c r="G70" s="156">
        <f>12*1.1138</f>
        <v>13.365599999999999</v>
      </c>
      <c r="H70" s="156">
        <f t="shared" si="6"/>
        <v>16.95</v>
      </c>
      <c r="I70" s="156">
        <f t="shared" si="7"/>
        <v>25090.720000000001</v>
      </c>
      <c r="K70" s="63"/>
      <c r="L70" s="63"/>
      <c r="M70" s="63"/>
      <c r="N70" s="63"/>
      <c r="O70" s="63"/>
      <c r="P70" s="63"/>
      <c r="Q70" s="63"/>
      <c r="R70" s="63"/>
      <c r="S70" s="63"/>
      <c r="T70" s="63"/>
    </row>
    <row r="71" spans="1:20" ht="51">
      <c r="A71" s="510"/>
      <c r="B71" s="154" t="s">
        <v>602</v>
      </c>
      <c r="C71" s="387" t="s">
        <v>594</v>
      </c>
      <c r="D71" s="359" t="s">
        <v>1049</v>
      </c>
      <c r="E71" s="160" t="s">
        <v>808</v>
      </c>
      <c r="F71" s="158">
        <f>SUM('Quantitativo '!D155,)</f>
        <v>36.900000000000006</v>
      </c>
      <c r="G71" s="156">
        <f>76.11*1.1138</f>
        <v>84.771317999999994</v>
      </c>
      <c r="H71" s="156">
        <f t="shared" si="6"/>
        <v>107.53</v>
      </c>
      <c r="I71" s="156">
        <f t="shared" si="7"/>
        <v>3967.86</v>
      </c>
      <c r="J71" s="488"/>
      <c r="K71" s="487"/>
      <c r="L71" s="63"/>
      <c r="M71" s="63"/>
      <c r="N71" s="63"/>
      <c r="O71" s="63"/>
      <c r="P71" s="63"/>
      <c r="Q71" s="63"/>
      <c r="R71" s="63"/>
      <c r="S71" s="63"/>
      <c r="T71" s="63"/>
    </row>
    <row r="72" spans="1:20" s="243" customFormat="1" ht="63.75">
      <c r="A72" s="510"/>
      <c r="B72" s="154" t="s">
        <v>402</v>
      </c>
      <c r="C72" s="387" t="s">
        <v>890</v>
      </c>
      <c r="D72" s="359" t="s">
        <v>1046</v>
      </c>
      <c r="E72" s="160" t="s">
        <v>808</v>
      </c>
      <c r="F72" s="158">
        <f>'Quantitativo '!Q117</f>
        <v>4.2</v>
      </c>
      <c r="G72" s="156">
        <v>91.98</v>
      </c>
      <c r="H72" s="156">
        <f t="shared" si="6"/>
        <v>116.68</v>
      </c>
      <c r="I72" s="156">
        <f t="shared" si="7"/>
        <v>490.06</v>
      </c>
      <c r="J72" s="488"/>
      <c r="K72" s="487"/>
      <c r="L72" s="244"/>
      <c r="M72" s="244"/>
      <c r="N72" s="244"/>
      <c r="O72" s="244"/>
      <c r="P72" s="244"/>
      <c r="Q72" s="244"/>
      <c r="R72" s="244"/>
      <c r="S72" s="244"/>
      <c r="T72" s="244"/>
    </row>
    <row r="73" spans="1:20" s="243" customFormat="1" ht="51">
      <c r="A73" s="510"/>
      <c r="B73" s="154" t="s">
        <v>467</v>
      </c>
      <c r="C73" s="387" t="s">
        <v>633</v>
      </c>
      <c r="D73" s="359" t="s">
        <v>1047</v>
      </c>
      <c r="E73" s="160" t="s">
        <v>808</v>
      </c>
      <c r="F73" s="158">
        <f>'Quantitativo '!P117+(26.25)</f>
        <v>31.31</v>
      </c>
      <c r="G73" s="156">
        <f>65.96*1.1138</f>
        <v>73.466247999999993</v>
      </c>
      <c r="H73" s="156">
        <f t="shared" si="6"/>
        <v>93.19</v>
      </c>
      <c r="I73" s="156">
        <f t="shared" si="7"/>
        <v>2917.78</v>
      </c>
      <c r="K73" s="244"/>
      <c r="L73" s="244"/>
      <c r="M73" s="244"/>
      <c r="N73" s="244"/>
      <c r="O73" s="244"/>
      <c r="P73" s="244"/>
      <c r="Q73" s="244"/>
      <c r="R73" s="244"/>
      <c r="S73" s="244"/>
      <c r="T73" s="244"/>
    </row>
    <row r="74" spans="1:20" s="243" customFormat="1" ht="38.25">
      <c r="A74" s="510"/>
      <c r="B74" s="154" t="s">
        <v>468</v>
      </c>
      <c r="C74" s="387" t="s">
        <v>634</v>
      </c>
      <c r="D74" s="359" t="s">
        <v>1048</v>
      </c>
      <c r="E74" s="160" t="s">
        <v>808</v>
      </c>
      <c r="F74" s="158">
        <f>'Quantitativo '!C155</f>
        <v>19.379999999999992</v>
      </c>
      <c r="G74" s="156">
        <f>82.61*1.1138</f>
        <v>92.011017999999993</v>
      </c>
      <c r="H74" s="156">
        <f t="shared" si="6"/>
        <v>116.72</v>
      </c>
      <c r="I74" s="156">
        <f t="shared" si="7"/>
        <v>2262.0300000000002</v>
      </c>
      <c r="K74" s="244"/>
      <c r="L74" s="244"/>
      <c r="M74" s="244"/>
      <c r="N74" s="244"/>
      <c r="O74" s="244"/>
      <c r="P74" s="244"/>
      <c r="Q74" s="244"/>
      <c r="R74" s="244"/>
      <c r="S74" s="244"/>
      <c r="T74" s="244"/>
    </row>
    <row r="75" spans="1:20" ht="38.25">
      <c r="A75" s="510"/>
      <c r="B75" s="154" t="s">
        <v>469</v>
      </c>
      <c r="C75" s="387" t="s">
        <v>893</v>
      </c>
      <c r="D75" s="359" t="s">
        <v>1050</v>
      </c>
      <c r="E75" s="160" t="s">
        <v>807</v>
      </c>
      <c r="F75" s="158">
        <f>('Quantitativo '!C178)*0.02</f>
        <v>10.232699999999999</v>
      </c>
      <c r="G75" s="156">
        <f>478.11</f>
        <v>478.11</v>
      </c>
      <c r="H75" s="156">
        <f t="shared" si="6"/>
        <v>606.48</v>
      </c>
      <c r="I75" s="156">
        <f t="shared" si="7"/>
        <v>6205.93</v>
      </c>
      <c r="K75" s="245"/>
      <c r="L75" s="63"/>
      <c r="M75" s="63"/>
      <c r="N75" s="63"/>
      <c r="O75" s="63"/>
      <c r="P75" s="63"/>
      <c r="Q75" s="63"/>
      <c r="R75" s="63"/>
      <c r="S75" s="63"/>
      <c r="T75" s="63"/>
    </row>
    <row r="76" spans="1:20" ht="25.5">
      <c r="A76" s="510"/>
      <c r="B76" s="154" t="s">
        <v>566</v>
      </c>
      <c r="C76" s="165" t="s">
        <v>891</v>
      </c>
      <c r="D76" s="359" t="s">
        <v>1053</v>
      </c>
      <c r="E76" s="160" t="s">
        <v>805</v>
      </c>
      <c r="F76" s="158">
        <f>'Quantitativo '!H168</f>
        <v>400.10749999999996</v>
      </c>
      <c r="G76" s="156">
        <f>26.16*1.1138</f>
        <v>29.137007999999998</v>
      </c>
      <c r="H76" s="156">
        <f t="shared" si="6"/>
        <v>36.96</v>
      </c>
      <c r="I76" s="156">
        <f t="shared" si="7"/>
        <v>14787.97</v>
      </c>
      <c r="K76" s="63"/>
      <c r="L76" s="63"/>
      <c r="M76" s="63"/>
      <c r="N76" s="63"/>
      <c r="O76" s="63"/>
      <c r="P76" s="63"/>
      <c r="Q76" s="63"/>
      <c r="R76" s="63"/>
      <c r="S76" s="63"/>
      <c r="T76" s="63"/>
    </row>
    <row r="77" spans="1:20" ht="38.25">
      <c r="A77" s="510"/>
      <c r="B77" s="154" t="s">
        <v>578</v>
      </c>
      <c r="C77" s="397" t="s">
        <v>892</v>
      </c>
      <c r="D77" s="359" t="s">
        <v>1054</v>
      </c>
      <c r="E77" s="160" t="s">
        <v>805</v>
      </c>
      <c r="F77" s="158">
        <f>'Quantitativo '!H167</f>
        <v>111.5275</v>
      </c>
      <c r="G77" s="156">
        <v>61.81</v>
      </c>
      <c r="H77" s="156">
        <f t="shared" si="6"/>
        <v>78.41</v>
      </c>
      <c r="I77" s="156">
        <f t="shared" si="7"/>
        <v>8744.8700000000008</v>
      </c>
      <c r="K77" s="63"/>
      <c r="L77" s="63"/>
      <c r="M77" s="63"/>
      <c r="N77" s="63"/>
      <c r="O77" s="63"/>
      <c r="P77" s="63"/>
      <c r="Q77" s="63"/>
      <c r="R77" s="63"/>
      <c r="S77" s="63"/>
      <c r="T77" s="63"/>
    </row>
    <row r="78" spans="1:20" ht="38.25">
      <c r="A78" s="510"/>
      <c r="B78" s="154" t="s">
        <v>579</v>
      </c>
      <c r="C78" s="165" t="s">
        <v>861</v>
      </c>
      <c r="D78" s="359" t="s">
        <v>1055</v>
      </c>
      <c r="E78" s="160" t="s">
        <v>805</v>
      </c>
      <c r="F78" s="158">
        <f>'Quantitativo '!AJ66+(11.66)+(5.132)+3.64</f>
        <v>121.88699999999999</v>
      </c>
      <c r="G78" s="156">
        <v>65</v>
      </c>
      <c r="H78" s="156">
        <f t="shared" si="6"/>
        <v>82.45</v>
      </c>
      <c r="I78" s="156">
        <f t="shared" si="7"/>
        <v>10049.58</v>
      </c>
      <c r="K78" s="63"/>
      <c r="L78" s="63"/>
      <c r="M78" s="63"/>
      <c r="N78" s="63"/>
      <c r="O78" s="63"/>
      <c r="P78" s="63"/>
      <c r="Q78" s="63"/>
      <c r="R78" s="63"/>
      <c r="S78" s="63"/>
      <c r="T78" s="63"/>
    </row>
    <row r="79" spans="1:20" s="213" customFormat="1" ht="25.5">
      <c r="A79" s="510"/>
      <c r="B79" s="531" t="s">
        <v>595</v>
      </c>
      <c r="C79" s="397" t="s">
        <v>624</v>
      </c>
      <c r="D79" s="359" t="s">
        <v>1056</v>
      </c>
      <c r="E79" s="160" t="s">
        <v>805</v>
      </c>
      <c r="F79" s="158">
        <f>'Quantitativo '!AC74</f>
        <v>270.26109999999994</v>
      </c>
      <c r="G79" s="156">
        <f>59.07*1.1138</f>
        <v>65.792165999999995</v>
      </c>
      <c r="H79" s="156">
        <f t="shared" si="6"/>
        <v>83.46</v>
      </c>
      <c r="I79" s="156">
        <f t="shared" si="7"/>
        <v>22555.99</v>
      </c>
      <c r="K79" s="214"/>
      <c r="L79" s="214"/>
      <c r="M79" s="214"/>
      <c r="N79" s="214"/>
      <c r="O79" s="214"/>
      <c r="P79" s="214"/>
      <c r="Q79" s="214"/>
      <c r="R79" s="214"/>
      <c r="S79" s="214"/>
      <c r="T79" s="214"/>
    </row>
    <row r="80" spans="1:20" s="213" customFormat="1" ht="25.5">
      <c r="A80" s="510"/>
      <c r="B80" s="154" t="s">
        <v>596</v>
      </c>
      <c r="C80" s="165" t="s">
        <v>861</v>
      </c>
      <c r="D80" s="359" t="s">
        <v>1057</v>
      </c>
      <c r="E80" s="160" t="s">
        <v>805</v>
      </c>
      <c r="F80" s="158">
        <f>'Quantitativo '!AH80</f>
        <v>4.8</v>
      </c>
      <c r="G80" s="156">
        <f>18/(0.3*0.3)</f>
        <v>200</v>
      </c>
      <c r="H80" s="156">
        <f t="shared" si="6"/>
        <v>253.7</v>
      </c>
      <c r="I80" s="156">
        <f t="shared" si="7"/>
        <v>1217.76</v>
      </c>
      <c r="K80" s="214"/>
      <c r="L80" s="214"/>
      <c r="M80" s="214"/>
      <c r="N80" s="214"/>
      <c r="O80" s="214"/>
      <c r="P80" s="214"/>
      <c r="Q80" s="214"/>
      <c r="R80" s="214"/>
      <c r="S80" s="214"/>
      <c r="T80" s="214"/>
    </row>
    <row r="81" spans="1:20" s="248" customFormat="1" ht="38.25">
      <c r="A81" s="510"/>
      <c r="B81" s="154" t="s">
        <v>598</v>
      </c>
      <c r="C81" s="397" t="s">
        <v>614</v>
      </c>
      <c r="D81" s="359" t="s">
        <v>1058</v>
      </c>
      <c r="E81" s="160" t="s">
        <v>808</v>
      </c>
      <c r="F81" s="158">
        <f>'Quantitativo '!AH104*1.1</f>
        <v>65.010000000000005</v>
      </c>
      <c r="G81" s="156">
        <f>14.31*1.1138</f>
        <v>15.938478</v>
      </c>
      <c r="H81" s="156">
        <f t="shared" si="6"/>
        <v>20.22</v>
      </c>
      <c r="I81" s="156">
        <f t="shared" si="7"/>
        <v>1314.5</v>
      </c>
      <c r="K81" s="244"/>
      <c r="L81" s="244"/>
      <c r="M81" s="244"/>
      <c r="N81" s="244"/>
      <c r="O81" s="244"/>
      <c r="P81" s="244"/>
      <c r="Q81" s="244"/>
      <c r="R81" s="244"/>
      <c r="S81" s="244"/>
      <c r="T81" s="244"/>
    </row>
    <row r="82" spans="1:20" s="248" customFormat="1" ht="25.5">
      <c r="A82" s="510"/>
      <c r="B82" s="154" t="s">
        <v>599</v>
      </c>
      <c r="C82" s="397" t="s">
        <v>610</v>
      </c>
      <c r="D82" s="359" t="s">
        <v>1059</v>
      </c>
      <c r="E82" s="160" t="s">
        <v>808</v>
      </c>
      <c r="F82" s="158">
        <f>'Quantitativo '!AH92</f>
        <v>68.2</v>
      </c>
      <c r="G82" s="156">
        <f>17.33*1.1138</f>
        <v>19.302153999999998</v>
      </c>
      <c r="H82" s="156">
        <f t="shared" si="6"/>
        <v>24.48</v>
      </c>
      <c r="I82" s="156">
        <f t="shared" si="7"/>
        <v>1669.54</v>
      </c>
      <c r="K82" s="244"/>
      <c r="L82" s="244"/>
      <c r="M82" s="244"/>
      <c r="N82" s="244"/>
      <c r="O82" s="244"/>
      <c r="P82" s="244"/>
      <c r="Q82" s="244"/>
      <c r="R82" s="244"/>
      <c r="S82" s="244"/>
      <c r="T82" s="244"/>
    </row>
    <row r="83" spans="1:20" s="261" customFormat="1" ht="38.25">
      <c r="A83" s="510"/>
      <c r="B83" s="154" t="s">
        <v>617</v>
      </c>
      <c r="C83" s="397" t="s">
        <v>635</v>
      </c>
      <c r="D83" s="394" t="s">
        <v>894</v>
      </c>
      <c r="E83" s="160" t="s">
        <v>805</v>
      </c>
      <c r="F83" s="158">
        <f>(0.5*1.5)</f>
        <v>0.75</v>
      </c>
      <c r="G83" s="156">
        <f>1.1138*431</f>
        <v>480.04779999999994</v>
      </c>
      <c r="H83" s="156">
        <f t="shared" si="6"/>
        <v>608.94000000000005</v>
      </c>
      <c r="I83" s="156">
        <f t="shared" si="7"/>
        <v>456.71</v>
      </c>
      <c r="K83" s="244"/>
      <c r="L83" s="244"/>
      <c r="M83" s="244"/>
      <c r="N83" s="244"/>
      <c r="O83" s="244"/>
      <c r="P83" s="244"/>
      <c r="Q83" s="244"/>
      <c r="R83" s="244"/>
      <c r="S83" s="244"/>
      <c r="T83" s="244"/>
    </row>
    <row r="84" spans="1:20" ht="63.75">
      <c r="A84" s="510"/>
      <c r="B84" s="154" t="s">
        <v>632</v>
      </c>
      <c r="C84" s="165" t="s">
        <v>1035</v>
      </c>
      <c r="D84" s="359" t="s">
        <v>1063</v>
      </c>
      <c r="E84" s="160" t="s">
        <v>805</v>
      </c>
      <c r="F84" s="158">
        <f>2.6737+0.66</f>
        <v>3.3337000000000003</v>
      </c>
      <c r="G84" s="156">
        <f>1.1138*365.43</f>
        <v>407.01593399999996</v>
      </c>
      <c r="H84" s="156">
        <f>ROUND(G84*1.2685,2)</f>
        <v>516.29999999999995</v>
      </c>
      <c r="I84" s="156">
        <f>ROUND(F84*H84,2)</f>
        <v>1721.19</v>
      </c>
      <c r="K84" s="63"/>
      <c r="L84" s="63"/>
      <c r="M84" s="63"/>
      <c r="N84" s="63"/>
      <c r="O84" s="63"/>
      <c r="P84" s="63"/>
      <c r="Q84" s="63"/>
      <c r="R84" s="63"/>
      <c r="S84" s="63"/>
      <c r="T84" s="63"/>
    </row>
    <row r="85" spans="1:20" s="408" customFormat="1" ht="38.25">
      <c r="A85" s="510"/>
      <c r="B85" s="154" t="s">
        <v>1036</v>
      </c>
      <c r="C85" s="165" t="s">
        <v>1035</v>
      </c>
      <c r="D85" s="359" t="s">
        <v>1037</v>
      </c>
      <c r="E85" s="160" t="s">
        <v>805</v>
      </c>
      <c r="F85" s="158">
        <v>1.02</v>
      </c>
      <c r="G85" s="156">
        <f>1.1138*365.43</f>
        <v>407.01593399999996</v>
      </c>
      <c r="H85" s="156">
        <f>ROUND(G85*1.2685,2)</f>
        <v>516.29999999999995</v>
      </c>
      <c r="I85" s="156">
        <f>ROUND(F85*H85,2)</f>
        <v>526.63</v>
      </c>
      <c r="K85" s="244"/>
      <c r="L85" s="244"/>
      <c r="M85" s="244"/>
      <c r="N85" s="244"/>
      <c r="O85" s="244"/>
      <c r="P85" s="244"/>
      <c r="Q85" s="244"/>
      <c r="R85" s="244"/>
      <c r="S85" s="244"/>
      <c r="T85" s="244"/>
    </row>
    <row r="86" spans="1:20" ht="63.75">
      <c r="A86" s="510"/>
      <c r="B86" s="154" t="s">
        <v>1060</v>
      </c>
      <c r="C86" s="160" t="s">
        <v>1025</v>
      </c>
      <c r="D86" s="403" t="s">
        <v>1062</v>
      </c>
      <c r="E86" s="160" t="s">
        <v>805</v>
      </c>
      <c r="F86" s="158">
        <v>2.4</v>
      </c>
      <c r="G86" s="156">
        <v>239.22</v>
      </c>
      <c r="H86" s="156">
        <f t="shared" ref="H86:H87" si="8">ROUND(G86*1.2685,2)</f>
        <v>303.45</v>
      </c>
      <c r="I86" s="156">
        <f t="shared" ref="I86:I87" si="9">ROUND(F86*H86,2)</f>
        <v>728.28</v>
      </c>
      <c r="K86" s="63"/>
      <c r="L86" s="63"/>
      <c r="M86" s="63"/>
      <c r="N86" s="63"/>
      <c r="O86" s="63"/>
      <c r="P86" s="63"/>
      <c r="Q86" s="63"/>
      <c r="R86" s="63"/>
      <c r="S86" s="63"/>
      <c r="T86" s="63"/>
    </row>
    <row r="87" spans="1:20" ht="25.5">
      <c r="A87" s="510"/>
      <c r="B87" s="320" t="s">
        <v>1061</v>
      </c>
      <c r="C87" s="322" t="s">
        <v>1026</v>
      </c>
      <c r="D87" s="402" t="s">
        <v>1064</v>
      </c>
      <c r="E87" s="321" t="s">
        <v>806</v>
      </c>
      <c r="F87" s="347">
        <v>1</v>
      </c>
      <c r="G87" s="323">
        <f>105.3*1.1138</f>
        <v>117.28313999999999</v>
      </c>
      <c r="H87" s="323">
        <f t="shared" si="8"/>
        <v>148.77000000000001</v>
      </c>
      <c r="I87" s="323">
        <f t="shared" si="9"/>
        <v>148.77000000000001</v>
      </c>
      <c r="K87" s="63"/>
      <c r="L87" s="63"/>
      <c r="M87" s="63"/>
      <c r="N87" s="63"/>
      <c r="O87" s="63"/>
      <c r="P87" s="63"/>
      <c r="Q87" s="63"/>
      <c r="R87" s="63"/>
      <c r="S87" s="63"/>
      <c r="T87" s="63"/>
    </row>
    <row r="88" spans="1:20" s="243" customFormat="1">
      <c r="A88" s="510"/>
      <c r="B88" s="518" t="s">
        <v>46</v>
      </c>
      <c r="C88" s="159"/>
      <c r="D88" s="146" t="s">
        <v>37</v>
      </c>
      <c r="E88" s="146"/>
      <c r="F88" s="146"/>
      <c r="G88" s="146"/>
      <c r="H88" s="146"/>
      <c r="I88" s="499">
        <f>SUM(I89:I91)</f>
        <v>70238.77</v>
      </c>
      <c r="K88" s="244"/>
      <c r="L88" s="244"/>
      <c r="M88" s="244"/>
      <c r="N88" s="244"/>
      <c r="O88" s="244"/>
      <c r="P88" s="244"/>
      <c r="Q88" s="244"/>
      <c r="R88" s="244"/>
      <c r="S88" s="244"/>
      <c r="T88" s="244"/>
    </row>
    <row r="89" spans="1:20" ht="25.5">
      <c r="A89" s="510"/>
      <c r="B89" s="315" t="s">
        <v>48</v>
      </c>
      <c r="C89" s="396" t="s">
        <v>597</v>
      </c>
      <c r="D89" s="358" t="s">
        <v>1228</v>
      </c>
      <c r="E89" s="326" t="s">
        <v>805</v>
      </c>
      <c r="F89" s="349">
        <f>('Quantitativo '!C289)+(249.9*0.3*2)+(249.9*0.15)+(0.6*0.45*42)+(208.075)</f>
        <v>637.9274999999999</v>
      </c>
      <c r="G89" s="319">
        <f>1.1138*19.69</f>
        <v>21.930721999999999</v>
      </c>
      <c r="H89" s="319">
        <f>ROUND(G89*1.2685,2)</f>
        <v>27.82</v>
      </c>
      <c r="I89" s="319">
        <f>ROUND(F89*H89,2)</f>
        <v>17747.14</v>
      </c>
      <c r="K89" s="63"/>
      <c r="L89" s="63"/>
      <c r="M89" s="63"/>
      <c r="N89" s="63"/>
      <c r="O89" s="63"/>
      <c r="P89" s="63"/>
      <c r="Q89" s="63"/>
      <c r="R89" s="63"/>
      <c r="S89" s="63"/>
      <c r="T89" s="63"/>
    </row>
    <row r="90" spans="1:20" ht="51">
      <c r="A90" s="510"/>
      <c r="B90" s="154" t="s">
        <v>49</v>
      </c>
      <c r="C90" s="387" t="s">
        <v>1065</v>
      </c>
      <c r="D90" s="359" t="s">
        <v>1229</v>
      </c>
      <c r="E90" s="160" t="s">
        <v>805</v>
      </c>
      <c r="F90" s="158">
        <f>'Quantitativo '!L261+(2.32+0.62)</f>
        <v>58.468800000000009</v>
      </c>
      <c r="G90" s="156">
        <v>55.19</v>
      </c>
      <c r="H90" s="156">
        <f>ROUND(G90*1.2685,2)</f>
        <v>70.010000000000005</v>
      </c>
      <c r="I90" s="156">
        <f>ROUND(F90*H90,2)</f>
        <v>4093.4</v>
      </c>
      <c r="K90" s="63"/>
      <c r="L90" s="63"/>
      <c r="M90" s="63"/>
      <c r="N90" s="63"/>
      <c r="O90" s="63"/>
      <c r="P90" s="63"/>
      <c r="Q90" s="63"/>
      <c r="R90" s="63"/>
      <c r="S90" s="63"/>
      <c r="T90" s="63"/>
    </row>
    <row r="91" spans="1:20" ht="38.25">
      <c r="A91" s="510"/>
      <c r="B91" s="532" t="s">
        <v>50</v>
      </c>
      <c r="C91" s="398" t="s">
        <v>1254</v>
      </c>
      <c r="D91" s="360" t="s">
        <v>1256</v>
      </c>
      <c r="E91" s="322" t="s">
        <v>805</v>
      </c>
      <c r="F91" s="347">
        <f>'Quantitativo '!I101</f>
        <v>1220.9441999999999</v>
      </c>
      <c r="G91" s="323">
        <f>28.06*1.1138</f>
        <v>31.253227999999996</v>
      </c>
      <c r="H91" s="323">
        <f>ROUND(G91*1.2685,2)</f>
        <v>39.64</v>
      </c>
      <c r="I91" s="323">
        <f>ROUND(F91*H91,2)</f>
        <v>48398.23</v>
      </c>
      <c r="K91" s="63"/>
      <c r="L91" s="63"/>
      <c r="M91" s="63"/>
      <c r="N91" s="63"/>
      <c r="O91" s="63"/>
      <c r="P91" s="63"/>
      <c r="Q91" s="63"/>
      <c r="R91" s="63"/>
      <c r="S91" s="63"/>
      <c r="T91" s="63"/>
    </row>
    <row r="92" spans="1:20">
      <c r="A92" s="510"/>
      <c r="B92" s="518" t="s">
        <v>51</v>
      </c>
      <c r="C92" s="159"/>
      <c r="D92" s="146" t="s">
        <v>43</v>
      </c>
      <c r="E92" s="146"/>
      <c r="F92" s="146"/>
      <c r="G92" s="146"/>
      <c r="H92" s="146"/>
      <c r="I92" s="499">
        <f>SUM(I93:I158)</f>
        <v>88783.76</v>
      </c>
      <c r="K92" s="63"/>
      <c r="L92" s="63"/>
      <c r="M92" s="63"/>
      <c r="N92" s="63"/>
      <c r="O92" s="63"/>
      <c r="P92" s="63"/>
      <c r="Q92" s="63"/>
      <c r="R92" s="63"/>
      <c r="S92" s="63"/>
      <c r="T92" s="63"/>
    </row>
    <row r="93" spans="1:20" ht="38.25">
      <c r="A93" s="510"/>
      <c r="B93" s="330" t="s">
        <v>53</v>
      </c>
      <c r="C93" s="399" t="s">
        <v>861</v>
      </c>
      <c r="D93" s="358" t="s">
        <v>1066</v>
      </c>
      <c r="E93" s="328" t="s">
        <v>806</v>
      </c>
      <c r="F93" s="377">
        <v>7</v>
      </c>
      <c r="G93" s="332">
        <v>180</v>
      </c>
      <c r="H93" s="319">
        <f t="shared" ref="H93:H160" si="10">ROUND(G93*1.2685,2)</f>
        <v>228.33</v>
      </c>
      <c r="I93" s="319">
        <f>ROUND(F93*H93,2)</f>
        <v>1598.31</v>
      </c>
      <c r="K93" s="63"/>
      <c r="L93" s="63"/>
      <c r="M93" s="63"/>
      <c r="N93" s="63"/>
      <c r="O93" s="63"/>
      <c r="P93" s="63"/>
      <c r="Q93" s="63"/>
      <c r="R93" s="63"/>
      <c r="S93" s="63"/>
      <c r="T93" s="63"/>
    </row>
    <row r="94" spans="1:20" ht="25.5">
      <c r="A94" s="510"/>
      <c r="B94" s="162" t="s">
        <v>54</v>
      </c>
      <c r="C94" s="400" t="s">
        <v>861</v>
      </c>
      <c r="D94" s="359" t="s">
        <v>1067</v>
      </c>
      <c r="E94" s="168" t="s">
        <v>806</v>
      </c>
      <c r="F94" s="170">
        <v>1</v>
      </c>
      <c r="G94" s="164">
        <v>380</v>
      </c>
      <c r="H94" s="156">
        <f t="shared" si="10"/>
        <v>482.03</v>
      </c>
      <c r="I94" s="156">
        <f t="shared" ref="I94:I160" si="11">ROUND(F94*H94,2)</f>
        <v>482.03</v>
      </c>
      <c r="K94" s="63"/>
      <c r="L94" s="63"/>
      <c r="M94" s="63"/>
      <c r="N94" s="63"/>
      <c r="O94" s="63"/>
      <c r="P94" s="63"/>
      <c r="Q94" s="63"/>
      <c r="R94" s="63"/>
      <c r="S94" s="63"/>
      <c r="T94" s="63"/>
    </row>
    <row r="95" spans="1:20" ht="25.5">
      <c r="A95" s="510"/>
      <c r="B95" s="162" t="s">
        <v>55</v>
      </c>
      <c r="C95" s="400" t="s">
        <v>916</v>
      </c>
      <c r="D95" s="359" t="s">
        <v>895</v>
      </c>
      <c r="E95" s="168" t="s">
        <v>806</v>
      </c>
      <c r="F95" s="170">
        <v>9</v>
      </c>
      <c r="G95" s="164">
        <v>36.020000000000003</v>
      </c>
      <c r="H95" s="156">
        <f t="shared" si="10"/>
        <v>45.69</v>
      </c>
      <c r="I95" s="156">
        <f t="shared" si="11"/>
        <v>411.21</v>
      </c>
      <c r="K95" s="63"/>
      <c r="L95" s="63"/>
      <c r="M95" s="63"/>
      <c r="N95" s="63"/>
      <c r="O95" s="63"/>
      <c r="P95" s="63"/>
      <c r="Q95" s="63"/>
      <c r="R95" s="63"/>
      <c r="S95" s="63"/>
      <c r="T95" s="63"/>
    </row>
    <row r="96" spans="1:20">
      <c r="A96" s="510"/>
      <c r="B96" s="162" t="s">
        <v>56</v>
      </c>
      <c r="C96" s="400" t="s">
        <v>917</v>
      </c>
      <c r="D96" s="359" t="s">
        <v>896</v>
      </c>
      <c r="E96" s="168" t="s">
        <v>806</v>
      </c>
      <c r="F96" s="170">
        <v>22</v>
      </c>
      <c r="G96" s="164">
        <v>12.63</v>
      </c>
      <c r="H96" s="156">
        <f t="shared" si="10"/>
        <v>16.02</v>
      </c>
      <c r="I96" s="156">
        <f t="shared" si="11"/>
        <v>352.44</v>
      </c>
      <c r="K96" s="63"/>
      <c r="L96" s="63"/>
      <c r="M96" s="63"/>
      <c r="N96" s="63"/>
      <c r="O96" s="63"/>
      <c r="P96" s="63"/>
      <c r="Q96" s="63"/>
      <c r="R96" s="63"/>
      <c r="S96" s="63"/>
      <c r="T96" s="63"/>
    </row>
    <row r="97" spans="1:20" s="285" customFormat="1">
      <c r="A97" s="510"/>
      <c r="B97" s="162" t="s">
        <v>57</v>
      </c>
      <c r="C97" s="400" t="s">
        <v>918</v>
      </c>
      <c r="D97" s="359" t="s">
        <v>897</v>
      </c>
      <c r="E97" s="168" t="s">
        <v>806</v>
      </c>
      <c r="F97" s="170">
        <v>3</v>
      </c>
      <c r="G97" s="164">
        <v>16.72</v>
      </c>
      <c r="H97" s="156">
        <f t="shared" si="10"/>
        <v>21.21</v>
      </c>
      <c r="I97" s="156">
        <f t="shared" si="11"/>
        <v>63.63</v>
      </c>
      <c r="K97" s="244"/>
      <c r="L97" s="244"/>
      <c r="M97" s="244"/>
      <c r="N97" s="244"/>
      <c r="O97" s="244"/>
      <c r="P97" s="244"/>
      <c r="Q97" s="244"/>
      <c r="R97" s="244"/>
      <c r="S97" s="244"/>
      <c r="T97" s="244"/>
    </row>
    <row r="98" spans="1:20">
      <c r="A98" s="510"/>
      <c r="B98" s="162" t="s">
        <v>58</v>
      </c>
      <c r="C98" s="400" t="s">
        <v>919</v>
      </c>
      <c r="D98" s="359" t="s">
        <v>810</v>
      </c>
      <c r="E98" s="168" t="s">
        <v>806</v>
      </c>
      <c r="F98" s="170">
        <v>5</v>
      </c>
      <c r="G98" s="164">
        <v>16.649999999999999</v>
      </c>
      <c r="H98" s="156">
        <f t="shared" si="10"/>
        <v>21.12</v>
      </c>
      <c r="I98" s="156">
        <f t="shared" si="11"/>
        <v>105.6</v>
      </c>
      <c r="K98" s="63"/>
      <c r="L98" s="63"/>
      <c r="M98" s="63"/>
      <c r="N98" s="63"/>
      <c r="O98" s="63"/>
      <c r="P98" s="63"/>
      <c r="Q98" s="63"/>
      <c r="R98" s="63"/>
      <c r="S98" s="63"/>
      <c r="T98" s="63"/>
    </row>
    <row r="99" spans="1:20" s="248" customFormat="1">
      <c r="A99" s="510"/>
      <c r="B99" s="162" t="s">
        <v>59</v>
      </c>
      <c r="C99" s="400" t="s">
        <v>920</v>
      </c>
      <c r="D99" s="359" t="s">
        <v>898</v>
      </c>
      <c r="E99" s="168" t="s">
        <v>806</v>
      </c>
      <c r="F99" s="170">
        <v>9</v>
      </c>
      <c r="G99" s="164">
        <v>13.45</v>
      </c>
      <c r="H99" s="156">
        <f t="shared" si="10"/>
        <v>17.059999999999999</v>
      </c>
      <c r="I99" s="156">
        <f t="shared" si="11"/>
        <v>153.54</v>
      </c>
      <c r="K99" s="244"/>
      <c r="L99" s="244"/>
      <c r="M99" s="244"/>
      <c r="N99" s="244"/>
      <c r="O99" s="244"/>
      <c r="P99" s="244"/>
      <c r="Q99" s="244"/>
      <c r="R99" s="244"/>
      <c r="S99" s="244"/>
      <c r="T99" s="244"/>
    </row>
    <row r="100" spans="1:20" s="248" customFormat="1">
      <c r="A100" s="510"/>
      <c r="B100" s="162" t="s">
        <v>60</v>
      </c>
      <c r="C100" s="400" t="s">
        <v>921</v>
      </c>
      <c r="D100" s="359" t="s">
        <v>899</v>
      </c>
      <c r="E100" s="168" t="s">
        <v>806</v>
      </c>
      <c r="F100" s="170">
        <v>8</v>
      </c>
      <c r="G100" s="164">
        <v>27.13</v>
      </c>
      <c r="H100" s="156">
        <f t="shared" si="10"/>
        <v>34.409999999999997</v>
      </c>
      <c r="I100" s="156">
        <f t="shared" si="11"/>
        <v>275.27999999999997</v>
      </c>
      <c r="K100" s="244"/>
      <c r="L100" s="244"/>
      <c r="M100" s="244"/>
      <c r="N100" s="244"/>
      <c r="O100" s="244"/>
      <c r="P100" s="244"/>
      <c r="Q100" s="244"/>
      <c r="R100" s="244"/>
      <c r="S100" s="244"/>
      <c r="T100" s="244"/>
    </row>
    <row r="101" spans="1:20" s="248" customFormat="1">
      <c r="A101" s="510"/>
      <c r="B101" s="162" t="s">
        <v>61</v>
      </c>
      <c r="C101" s="400" t="s">
        <v>922</v>
      </c>
      <c r="D101" s="359" t="s">
        <v>900</v>
      </c>
      <c r="E101" s="168" t="s">
        <v>806</v>
      </c>
      <c r="F101" s="170">
        <v>5</v>
      </c>
      <c r="G101" s="164">
        <v>21.92</v>
      </c>
      <c r="H101" s="156">
        <f t="shared" si="10"/>
        <v>27.81</v>
      </c>
      <c r="I101" s="156">
        <f t="shared" si="11"/>
        <v>139.05000000000001</v>
      </c>
      <c r="K101" s="244"/>
      <c r="L101" s="244"/>
      <c r="M101" s="244"/>
      <c r="N101" s="244"/>
      <c r="O101" s="244"/>
      <c r="P101" s="244"/>
      <c r="Q101" s="244"/>
      <c r="R101" s="244"/>
      <c r="S101" s="244"/>
      <c r="T101" s="244"/>
    </row>
    <row r="102" spans="1:20" ht="30">
      <c r="A102" s="510"/>
      <c r="B102" s="162" t="s">
        <v>62</v>
      </c>
      <c r="C102" s="400" t="s">
        <v>606</v>
      </c>
      <c r="D102" s="359" t="s">
        <v>904</v>
      </c>
      <c r="E102" s="168" t="s">
        <v>806</v>
      </c>
      <c r="F102" s="170">
        <v>5</v>
      </c>
      <c r="G102" s="164">
        <f>12.29*1.1138</f>
        <v>13.688601999999998</v>
      </c>
      <c r="H102" s="156">
        <f t="shared" si="10"/>
        <v>17.36</v>
      </c>
      <c r="I102" s="156">
        <f t="shared" si="11"/>
        <v>86.8</v>
      </c>
      <c r="K102" s="102"/>
      <c r="L102" s="102"/>
      <c r="M102" s="102"/>
      <c r="N102" s="102"/>
      <c r="O102" s="102"/>
      <c r="P102" s="102"/>
      <c r="Q102" s="102"/>
      <c r="R102" s="102"/>
      <c r="S102" s="102"/>
      <c r="T102" s="102"/>
    </row>
    <row r="103" spans="1:20" ht="30">
      <c r="A103" s="510"/>
      <c r="B103" s="162" t="s">
        <v>63</v>
      </c>
      <c r="C103" s="400" t="s">
        <v>607</v>
      </c>
      <c r="D103" s="359" t="s">
        <v>903</v>
      </c>
      <c r="E103" s="168" t="s">
        <v>806</v>
      </c>
      <c r="F103" s="170">
        <v>8</v>
      </c>
      <c r="G103" s="164">
        <f>8.95*1.1138</f>
        <v>9.9685099999999984</v>
      </c>
      <c r="H103" s="156">
        <f t="shared" si="10"/>
        <v>12.65</v>
      </c>
      <c r="I103" s="156">
        <f t="shared" si="11"/>
        <v>101.2</v>
      </c>
      <c r="K103" s="63"/>
      <c r="L103" s="63"/>
      <c r="M103" s="63"/>
      <c r="N103" s="63"/>
      <c r="O103" s="63"/>
      <c r="P103" s="63"/>
      <c r="Q103" s="63"/>
      <c r="R103" s="63"/>
      <c r="S103" s="63"/>
      <c r="T103" s="63"/>
    </row>
    <row r="104" spans="1:20" ht="30">
      <c r="A104" s="510"/>
      <c r="B104" s="162" t="s">
        <v>64</v>
      </c>
      <c r="C104" s="400" t="s">
        <v>609</v>
      </c>
      <c r="D104" s="359" t="s">
        <v>902</v>
      </c>
      <c r="E104" s="168" t="s">
        <v>806</v>
      </c>
      <c r="F104" s="170">
        <v>3</v>
      </c>
      <c r="G104" s="164">
        <f>1.1138*11.83</f>
        <v>13.176253999999998</v>
      </c>
      <c r="H104" s="156">
        <f t="shared" si="10"/>
        <v>16.71</v>
      </c>
      <c r="I104" s="156">
        <f t="shared" si="11"/>
        <v>50.13</v>
      </c>
      <c r="K104" s="63"/>
      <c r="L104" s="63"/>
      <c r="M104" s="63"/>
      <c r="N104" s="63"/>
      <c r="O104" s="63"/>
      <c r="P104" s="63"/>
      <c r="Q104" s="63"/>
      <c r="R104" s="63"/>
      <c r="S104" s="63"/>
      <c r="T104" s="63"/>
    </row>
    <row r="105" spans="1:20" ht="30">
      <c r="A105" s="510"/>
      <c r="B105" s="162" t="s">
        <v>65</v>
      </c>
      <c r="C105" s="400" t="s">
        <v>608</v>
      </c>
      <c r="D105" s="359" t="s">
        <v>901</v>
      </c>
      <c r="E105" s="168" t="s">
        <v>806</v>
      </c>
      <c r="F105" s="170">
        <v>1</v>
      </c>
      <c r="G105" s="164">
        <f>1.1138*10.05</f>
        <v>11.19369</v>
      </c>
      <c r="H105" s="156">
        <f t="shared" si="10"/>
        <v>14.2</v>
      </c>
      <c r="I105" s="156">
        <f t="shared" si="11"/>
        <v>14.2</v>
      </c>
      <c r="K105" s="63"/>
      <c r="L105" s="63"/>
      <c r="M105" s="63"/>
      <c r="N105" s="63"/>
      <c r="O105" s="63"/>
      <c r="P105" s="63"/>
      <c r="Q105" s="63"/>
      <c r="R105" s="63"/>
      <c r="S105" s="63"/>
      <c r="T105" s="63"/>
    </row>
    <row r="106" spans="1:20" ht="30">
      <c r="A106" s="510"/>
      <c r="B106" s="162" t="s">
        <v>470</v>
      </c>
      <c r="C106" s="400" t="s">
        <v>923</v>
      </c>
      <c r="D106" s="359" t="s">
        <v>905</v>
      </c>
      <c r="E106" s="163" t="s">
        <v>808</v>
      </c>
      <c r="F106" s="170">
        <v>71.00500000000001</v>
      </c>
      <c r="G106" s="164">
        <v>41.69</v>
      </c>
      <c r="H106" s="156">
        <f t="shared" si="10"/>
        <v>52.88</v>
      </c>
      <c r="I106" s="156">
        <f t="shared" si="11"/>
        <v>3754.74</v>
      </c>
      <c r="K106" s="63"/>
      <c r="L106" s="63"/>
      <c r="M106" s="63"/>
      <c r="N106" s="63"/>
      <c r="O106" s="63"/>
      <c r="P106" s="63"/>
      <c r="Q106" s="63"/>
      <c r="R106" s="63"/>
      <c r="S106" s="63"/>
      <c r="T106" s="63"/>
    </row>
    <row r="107" spans="1:20" ht="30">
      <c r="A107" s="510"/>
      <c r="B107" s="162" t="s">
        <v>471</v>
      </c>
      <c r="C107" s="400" t="s">
        <v>924</v>
      </c>
      <c r="D107" s="359" t="s">
        <v>906</v>
      </c>
      <c r="E107" s="163" t="s">
        <v>808</v>
      </c>
      <c r="F107" s="170">
        <f>56.892-1.15+0.75</f>
        <v>56.492000000000004</v>
      </c>
      <c r="G107" s="164">
        <v>32.369999999999997</v>
      </c>
      <c r="H107" s="156">
        <f t="shared" si="10"/>
        <v>41.06</v>
      </c>
      <c r="I107" s="156">
        <f t="shared" si="11"/>
        <v>2319.56</v>
      </c>
      <c r="K107" s="63"/>
      <c r="L107" s="63"/>
      <c r="M107" s="63"/>
      <c r="N107" s="63"/>
      <c r="O107" s="63"/>
      <c r="P107" s="63"/>
      <c r="Q107" s="63"/>
      <c r="R107" s="63"/>
      <c r="S107" s="63"/>
      <c r="T107" s="63"/>
    </row>
    <row r="108" spans="1:20" ht="38.25">
      <c r="A108" s="510"/>
      <c r="B108" s="162" t="s">
        <v>472</v>
      </c>
      <c r="C108" s="165" t="s">
        <v>861</v>
      </c>
      <c r="D108" s="366" t="s">
        <v>811</v>
      </c>
      <c r="E108" s="168" t="s">
        <v>806</v>
      </c>
      <c r="F108" s="170">
        <v>1</v>
      </c>
      <c r="G108" s="164">
        <v>4920.55</v>
      </c>
      <c r="H108" s="156">
        <f t="shared" si="10"/>
        <v>6241.72</v>
      </c>
      <c r="I108" s="156">
        <f t="shared" si="11"/>
        <v>6241.72</v>
      </c>
      <c r="K108" s="63"/>
      <c r="L108" s="63"/>
      <c r="M108" s="63"/>
      <c r="N108" s="63"/>
      <c r="O108" s="63"/>
      <c r="P108" s="63"/>
      <c r="Q108" s="63"/>
      <c r="R108" s="63"/>
      <c r="S108" s="63"/>
      <c r="T108" s="63"/>
    </row>
    <row r="109" spans="1:20" ht="38.25">
      <c r="A109" s="510"/>
      <c r="B109" s="162" t="s">
        <v>473</v>
      </c>
      <c r="C109" s="165" t="s">
        <v>861</v>
      </c>
      <c r="D109" s="359" t="s">
        <v>812</v>
      </c>
      <c r="E109" s="168" t="s">
        <v>806</v>
      </c>
      <c r="F109" s="170">
        <v>1</v>
      </c>
      <c r="G109" s="164">
        <v>5150.75</v>
      </c>
      <c r="H109" s="156">
        <f t="shared" si="10"/>
        <v>6533.73</v>
      </c>
      <c r="I109" s="156">
        <f t="shared" si="11"/>
        <v>6533.73</v>
      </c>
      <c r="K109" s="63"/>
      <c r="L109" s="63"/>
      <c r="M109" s="63"/>
      <c r="N109" s="63"/>
      <c r="O109" s="63"/>
      <c r="P109" s="63"/>
      <c r="Q109" s="63"/>
      <c r="R109" s="63"/>
      <c r="S109" s="63"/>
      <c r="T109" s="63"/>
    </row>
    <row r="110" spans="1:20" ht="30">
      <c r="A110" s="510"/>
      <c r="B110" s="162" t="s">
        <v>474</v>
      </c>
      <c r="C110" s="400" t="s">
        <v>925</v>
      </c>
      <c r="D110" s="359" t="s">
        <v>907</v>
      </c>
      <c r="E110" s="168" t="s">
        <v>806</v>
      </c>
      <c r="F110" s="170">
        <v>23</v>
      </c>
      <c r="G110" s="164">
        <v>54.29</v>
      </c>
      <c r="H110" s="156">
        <f t="shared" si="10"/>
        <v>68.87</v>
      </c>
      <c r="I110" s="156">
        <f t="shared" si="11"/>
        <v>1584.01</v>
      </c>
      <c r="K110" s="63"/>
      <c r="L110" s="63"/>
      <c r="M110" s="63"/>
      <c r="N110" s="63"/>
      <c r="O110" s="63"/>
      <c r="P110" s="63"/>
      <c r="Q110" s="63"/>
      <c r="R110" s="63"/>
      <c r="S110" s="63"/>
      <c r="T110" s="63"/>
    </row>
    <row r="111" spans="1:20" ht="30">
      <c r="A111" s="510"/>
      <c r="B111" s="162" t="s">
        <v>475</v>
      </c>
      <c r="C111" s="400" t="s">
        <v>926</v>
      </c>
      <c r="D111" s="359" t="s">
        <v>908</v>
      </c>
      <c r="E111" s="168" t="s">
        <v>806</v>
      </c>
      <c r="F111" s="170">
        <v>2</v>
      </c>
      <c r="G111" s="164">
        <v>90.2</v>
      </c>
      <c r="H111" s="156">
        <f t="shared" si="10"/>
        <v>114.42</v>
      </c>
      <c r="I111" s="156">
        <f t="shared" si="11"/>
        <v>228.84</v>
      </c>
      <c r="K111" s="63"/>
      <c r="L111" s="63"/>
      <c r="M111" s="63"/>
      <c r="N111" s="63"/>
      <c r="O111" s="63"/>
      <c r="P111" s="63"/>
      <c r="Q111" s="63"/>
      <c r="R111" s="63"/>
      <c r="S111" s="63"/>
      <c r="T111" s="63"/>
    </row>
    <row r="112" spans="1:20" ht="30">
      <c r="A112" s="510"/>
      <c r="B112" s="162" t="s">
        <v>476</v>
      </c>
      <c r="C112" s="400" t="s">
        <v>861</v>
      </c>
      <c r="D112" s="359" t="s">
        <v>813</v>
      </c>
      <c r="E112" s="168" t="s">
        <v>806</v>
      </c>
      <c r="F112" s="170">
        <v>1</v>
      </c>
      <c r="G112" s="164">
        <v>275.60000000000002</v>
      </c>
      <c r="H112" s="156">
        <f t="shared" si="10"/>
        <v>349.6</v>
      </c>
      <c r="I112" s="156">
        <f t="shared" si="11"/>
        <v>349.6</v>
      </c>
      <c r="K112" s="63"/>
      <c r="L112" s="63"/>
      <c r="M112" s="63"/>
      <c r="N112" s="63"/>
      <c r="O112" s="63"/>
      <c r="P112" s="63"/>
      <c r="Q112" s="63"/>
      <c r="R112" s="63"/>
      <c r="S112" s="63"/>
      <c r="T112" s="63"/>
    </row>
    <row r="113" spans="1:20" ht="30">
      <c r="A113" s="510"/>
      <c r="B113" s="162" t="s">
        <v>477</v>
      </c>
      <c r="C113" s="400" t="s">
        <v>927</v>
      </c>
      <c r="D113" s="384" t="s">
        <v>909</v>
      </c>
      <c r="E113" s="168" t="s">
        <v>806</v>
      </c>
      <c r="F113" s="170">
        <v>53</v>
      </c>
      <c r="G113" s="164">
        <v>6.93</v>
      </c>
      <c r="H113" s="156">
        <f t="shared" si="10"/>
        <v>8.7899999999999991</v>
      </c>
      <c r="I113" s="156">
        <f t="shared" si="11"/>
        <v>465.87</v>
      </c>
      <c r="K113" s="63"/>
      <c r="L113" s="63"/>
      <c r="M113" s="63"/>
      <c r="N113" s="63"/>
      <c r="O113" s="63"/>
      <c r="P113" s="63"/>
      <c r="Q113" s="63"/>
      <c r="R113" s="63"/>
      <c r="S113" s="63"/>
      <c r="T113" s="63"/>
    </row>
    <row r="114" spans="1:20" ht="30">
      <c r="A114" s="510"/>
      <c r="B114" s="162" t="s">
        <v>478</v>
      </c>
      <c r="C114" s="400" t="s">
        <v>928</v>
      </c>
      <c r="D114" s="384" t="s">
        <v>910</v>
      </c>
      <c r="E114" s="168" t="s">
        <v>806</v>
      </c>
      <c r="F114" s="170">
        <v>6</v>
      </c>
      <c r="G114" s="164">
        <v>9.14</v>
      </c>
      <c r="H114" s="156">
        <f t="shared" si="10"/>
        <v>11.59</v>
      </c>
      <c r="I114" s="156">
        <f t="shared" si="11"/>
        <v>69.540000000000006</v>
      </c>
      <c r="K114" s="63"/>
      <c r="L114" s="63"/>
      <c r="M114" s="63"/>
      <c r="N114" s="63"/>
      <c r="O114" s="63"/>
      <c r="P114" s="63"/>
      <c r="Q114" s="63"/>
      <c r="R114" s="63"/>
      <c r="S114" s="63"/>
      <c r="T114" s="63"/>
    </row>
    <row r="115" spans="1:20" ht="30">
      <c r="A115" s="510"/>
      <c r="B115" s="162" t="s">
        <v>479</v>
      </c>
      <c r="C115" s="400" t="s">
        <v>929</v>
      </c>
      <c r="D115" s="384" t="s">
        <v>911</v>
      </c>
      <c r="E115" s="168" t="s">
        <v>806</v>
      </c>
      <c r="F115" s="170">
        <v>7</v>
      </c>
      <c r="G115" s="164">
        <v>7.19</v>
      </c>
      <c r="H115" s="156">
        <f t="shared" si="10"/>
        <v>9.1199999999999992</v>
      </c>
      <c r="I115" s="156">
        <f t="shared" si="11"/>
        <v>63.84</v>
      </c>
      <c r="K115" s="63"/>
      <c r="L115" s="63"/>
      <c r="M115" s="63"/>
      <c r="N115" s="63"/>
      <c r="O115" s="63"/>
      <c r="P115" s="63"/>
      <c r="Q115" s="63"/>
      <c r="R115" s="63"/>
      <c r="S115" s="63"/>
      <c r="T115" s="63"/>
    </row>
    <row r="116" spans="1:20" ht="30">
      <c r="A116" s="510"/>
      <c r="B116" s="162" t="s">
        <v>480</v>
      </c>
      <c r="C116" s="400" t="s">
        <v>930</v>
      </c>
      <c r="D116" s="384" t="s">
        <v>912</v>
      </c>
      <c r="E116" s="168" t="s">
        <v>806</v>
      </c>
      <c r="F116" s="170">
        <v>30</v>
      </c>
      <c r="G116" s="164">
        <v>9.52</v>
      </c>
      <c r="H116" s="156">
        <f t="shared" si="10"/>
        <v>12.08</v>
      </c>
      <c r="I116" s="156">
        <f t="shared" si="11"/>
        <v>362.4</v>
      </c>
      <c r="K116" s="63"/>
      <c r="L116" s="63"/>
      <c r="M116" s="63"/>
      <c r="N116" s="63"/>
      <c r="O116" s="63"/>
      <c r="P116" s="63"/>
      <c r="Q116" s="63"/>
      <c r="R116" s="63"/>
      <c r="S116" s="63"/>
      <c r="T116" s="63"/>
    </row>
    <row r="117" spans="1:20" ht="30">
      <c r="A117" s="510"/>
      <c r="B117" s="162" t="s">
        <v>481</v>
      </c>
      <c r="C117" s="400" t="s">
        <v>931</v>
      </c>
      <c r="D117" s="384" t="s">
        <v>913</v>
      </c>
      <c r="E117" s="168" t="s">
        <v>806</v>
      </c>
      <c r="F117" s="170">
        <v>6</v>
      </c>
      <c r="G117" s="164">
        <v>13.72</v>
      </c>
      <c r="H117" s="156">
        <f t="shared" si="10"/>
        <v>17.399999999999999</v>
      </c>
      <c r="I117" s="156">
        <f t="shared" si="11"/>
        <v>104.4</v>
      </c>
      <c r="K117" s="63"/>
      <c r="L117" s="63"/>
      <c r="M117" s="63"/>
      <c r="N117" s="63"/>
      <c r="O117" s="63"/>
      <c r="P117" s="63"/>
      <c r="Q117" s="63"/>
      <c r="R117" s="63"/>
      <c r="S117" s="63"/>
      <c r="T117" s="63"/>
    </row>
    <row r="118" spans="1:20" ht="30">
      <c r="A118" s="510"/>
      <c r="B118" s="162" t="s">
        <v>482</v>
      </c>
      <c r="C118" s="400" t="s">
        <v>932</v>
      </c>
      <c r="D118" s="359" t="s">
        <v>914</v>
      </c>
      <c r="E118" s="168" t="s">
        <v>806</v>
      </c>
      <c r="F118" s="170">
        <v>4</v>
      </c>
      <c r="G118" s="164">
        <v>3.08</v>
      </c>
      <c r="H118" s="156">
        <f t="shared" si="10"/>
        <v>3.91</v>
      </c>
      <c r="I118" s="156">
        <f t="shared" si="11"/>
        <v>15.64</v>
      </c>
      <c r="K118" s="63"/>
      <c r="L118" s="63"/>
      <c r="M118" s="63"/>
      <c r="N118" s="63"/>
      <c r="O118" s="63"/>
      <c r="P118" s="63"/>
      <c r="Q118" s="63"/>
      <c r="R118" s="63"/>
      <c r="S118" s="63"/>
      <c r="T118" s="63"/>
    </row>
    <row r="119" spans="1:20" ht="30">
      <c r="A119" s="510"/>
      <c r="B119" s="162" t="s">
        <v>483</v>
      </c>
      <c r="C119" s="400" t="s">
        <v>933</v>
      </c>
      <c r="D119" s="359" t="s">
        <v>915</v>
      </c>
      <c r="E119" s="168" t="s">
        <v>806</v>
      </c>
      <c r="F119" s="170">
        <v>1</v>
      </c>
      <c r="G119" s="164">
        <v>7.28</v>
      </c>
      <c r="H119" s="156">
        <f t="shared" si="10"/>
        <v>9.23</v>
      </c>
      <c r="I119" s="156">
        <f t="shared" si="11"/>
        <v>9.23</v>
      </c>
      <c r="K119" s="63"/>
      <c r="L119" s="63"/>
      <c r="M119" s="63"/>
      <c r="N119" s="63"/>
      <c r="O119" s="63"/>
      <c r="P119" s="63"/>
      <c r="Q119" s="63"/>
      <c r="R119" s="63"/>
      <c r="S119" s="63"/>
      <c r="T119" s="63"/>
    </row>
    <row r="120" spans="1:20" s="257" customFormat="1" ht="30">
      <c r="A120" s="510"/>
      <c r="B120" s="162" t="s">
        <v>484</v>
      </c>
      <c r="C120" s="400" t="s">
        <v>934</v>
      </c>
      <c r="D120" s="359" t="s">
        <v>946</v>
      </c>
      <c r="E120" s="163" t="s">
        <v>808</v>
      </c>
      <c r="F120" s="170">
        <v>27.071000000000002</v>
      </c>
      <c r="G120" s="164">
        <v>12.85</v>
      </c>
      <c r="H120" s="156">
        <f t="shared" si="10"/>
        <v>16.3</v>
      </c>
      <c r="I120" s="156">
        <f t="shared" si="11"/>
        <v>441.26</v>
      </c>
      <c r="K120" s="244"/>
      <c r="L120" s="244"/>
      <c r="M120" s="244"/>
      <c r="N120" s="244"/>
      <c r="O120" s="244"/>
      <c r="P120" s="244"/>
      <c r="Q120" s="244"/>
      <c r="R120" s="244"/>
      <c r="S120" s="244"/>
      <c r="T120" s="244"/>
    </row>
    <row r="121" spans="1:20" s="257" customFormat="1" ht="30">
      <c r="A121" s="510"/>
      <c r="B121" s="162" t="s">
        <v>485</v>
      </c>
      <c r="C121" s="400" t="s">
        <v>935</v>
      </c>
      <c r="D121" s="359" t="s">
        <v>945</v>
      </c>
      <c r="E121" s="163" t="s">
        <v>808</v>
      </c>
      <c r="F121" s="170">
        <f>169.5+1.4+6</f>
        <v>176.9</v>
      </c>
      <c r="G121" s="164">
        <v>7.42</v>
      </c>
      <c r="H121" s="156">
        <f t="shared" si="10"/>
        <v>9.41</v>
      </c>
      <c r="I121" s="156">
        <f t="shared" si="11"/>
        <v>1664.63</v>
      </c>
      <c r="K121" s="244"/>
      <c r="L121" s="244"/>
      <c r="M121" s="244"/>
      <c r="N121" s="244"/>
      <c r="O121" s="244"/>
      <c r="P121" s="244"/>
      <c r="Q121" s="244"/>
      <c r="R121" s="244"/>
      <c r="S121" s="244"/>
      <c r="T121" s="244"/>
    </row>
    <row r="122" spans="1:20" s="257" customFormat="1" ht="30">
      <c r="A122" s="510"/>
      <c r="B122" s="162" t="s">
        <v>486</v>
      </c>
      <c r="C122" s="400" t="s">
        <v>936</v>
      </c>
      <c r="D122" s="359" t="s">
        <v>1123</v>
      </c>
      <c r="E122" s="163" t="s">
        <v>808</v>
      </c>
      <c r="F122" s="170">
        <f>'Quantitativo '!D211+'Quantitativo '!D212</f>
        <v>43.043000000000006</v>
      </c>
      <c r="G122" s="164">
        <v>13.97</v>
      </c>
      <c r="H122" s="156">
        <f t="shared" si="10"/>
        <v>17.72</v>
      </c>
      <c r="I122" s="156">
        <f t="shared" si="11"/>
        <v>762.72</v>
      </c>
      <c r="K122" s="244"/>
      <c r="L122" s="244"/>
      <c r="M122" s="244"/>
      <c r="N122" s="244"/>
      <c r="O122" s="244"/>
      <c r="P122" s="244"/>
      <c r="Q122" s="244"/>
      <c r="R122" s="244"/>
      <c r="S122" s="244"/>
      <c r="T122" s="244"/>
    </row>
    <row r="123" spans="1:20" s="257" customFormat="1" ht="30">
      <c r="A123" s="510"/>
      <c r="B123" s="162" t="s">
        <v>487</v>
      </c>
      <c r="C123" s="400" t="s">
        <v>937</v>
      </c>
      <c r="D123" s="359" t="s">
        <v>943</v>
      </c>
      <c r="E123" s="168" t="s">
        <v>806</v>
      </c>
      <c r="F123" s="170">
        <f>'Quantitativo '!D213+'Quantitativo '!D214</f>
        <v>18</v>
      </c>
      <c r="G123" s="164">
        <v>7.93</v>
      </c>
      <c r="H123" s="156">
        <f t="shared" si="10"/>
        <v>10.06</v>
      </c>
      <c r="I123" s="156">
        <f>ROUND(F123*H123,2)</f>
        <v>181.08</v>
      </c>
      <c r="K123" s="244"/>
      <c r="L123" s="244"/>
      <c r="M123" s="244"/>
      <c r="N123" s="244"/>
      <c r="O123" s="244"/>
      <c r="P123" s="244"/>
      <c r="Q123" s="244"/>
      <c r="R123" s="244"/>
      <c r="S123" s="244"/>
      <c r="T123" s="244"/>
    </row>
    <row r="124" spans="1:20" ht="30">
      <c r="A124" s="510"/>
      <c r="B124" s="162" t="s">
        <v>488</v>
      </c>
      <c r="C124" s="400" t="s">
        <v>938</v>
      </c>
      <c r="D124" s="359" t="s">
        <v>944</v>
      </c>
      <c r="E124" s="168" t="s">
        <v>806</v>
      </c>
      <c r="F124" s="170">
        <v>4</v>
      </c>
      <c r="G124" s="164">
        <v>4.6500000000000004</v>
      </c>
      <c r="H124" s="156">
        <f t="shared" si="10"/>
        <v>5.9</v>
      </c>
      <c r="I124" s="156">
        <f>ROUND(F124*H124,2)</f>
        <v>23.6</v>
      </c>
      <c r="K124" s="63"/>
      <c r="L124" s="63"/>
      <c r="M124" s="63"/>
      <c r="N124" s="63"/>
      <c r="O124" s="63"/>
      <c r="P124" s="63"/>
      <c r="Q124" s="63"/>
      <c r="R124" s="63"/>
      <c r="S124" s="63"/>
      <c r="T124" s="63"/>
    </row>
    <row r="125" spans="1:20" ht="30">
      <c r="A125" s="510"/>
      <c r="B125" s="162" t="s">
        <v>489</v>
      </c>
      <c r="C125" s="400" t="s">
        <v>939</v>
      </c>
      <c r="D125" s="359" t="s">
        <v>947</v>
      </c>
      <c r="E125" s="168" t="s">
        <v>806</v>
      </c>
      <c r="F125" s="170">
        <v>1</v>
      </c>
      <c r="G125" s="164">
        <v>5.57</v>
      </c>
      <c r="H125" s="156">
        <f t="shared" si="10"/>
        <v>7.07</v>
      </c>
      <c r="I125" s="156">
        <f>ROUND(F125*H125,2)</f>
        <v>7.07</v>
      </c>
      <c r="K125" s="63"/>
      <c r="L125" s="63"/>
      <c r="M125" s="63"/>
      <c r="N125" s="63"/>
      <c r="O125" s="63"/>
      <c r="P125" s="63"/>
      <c r="Q125" s="63"/>
      <c r="R125" s="63"/>
      <c r="S125" s="63"/>
      <c r="T125" s="63"/>
    </row>
    <row r="126" spans="1:20" ht="30">
      <c r="A126" s="510"/>
      <c r="B126" s="162" t="s">
        <v>490</v>
      </c>
      <c r="C126" s="165" t="s">
        <v>861</v>
      </c>
      <c r="D126" s="359" t="s">
        <v>948</v>
      </c>
      <c r="E126" s="168" t="s">
        <v>806</v>
      </c>
      <c r="F126" s="170">
        <v>1</v>
      </c>
      <c r="G126" s="164">
        <v>2250</v>
      </c>
      <c r="H126" s="156">
        <f t="shared" si="10"/>
        <v>2854.13</v>
      </c>
      <c r="I126" s="156">
        <f t="shared" si="11"/>
        <v>2854.13</v>
      </c>
      <c r="K126" s="63"/>
      <c r="L126" s="63"/>
      <c r="M126" s="63"/>
      <c r="N126" s="63"/>
      <c r="O126" s="63"/>
      <c r="P126" s="63"/>
      <c r="Q126" s="63"/>
      <c r="R126" s="63"/>
      <c r="S126" s="63"/>
      <c r="T126" s="63"/>
    </row>
    <row r="127" spans="1:20" ht="51">
      <c r="A127" s="510"/>
      <c r="B127" s="162" t="s">
        <v>491</v>
      </c>
      <c r="C127" s="165" t="s">
        <v>861</v>
      </c>
      <c r="D127" s="359" t="s">
        <v>1127</v>
      </c>
      <c r="E127" s="168" t="s">
        <v>806</v>
      </c>
      <c r="F127" s="378">
        <v>2</v>
      </c>
      <c r="G127" s="164">
        <v>2050</v>
      </c>
      <c r="H127" s="156">
        <f t="shared" si="10"/>
        <v>2600.4299999999998</v>
      </c>
      <c r="I127" s="156">
        <f t="shared" si="11"/>
        <v>5200.8599999999997</v>
      </c>
      <c r="K127" s="63"/>
      <c r="L127" s="63"/>
      <c r="M127" s="63"/>
      <c r="N127" s="63"/>
      <c r="O127" s="63"/>
      <c r="P127" s="63"/>
      <c r="Q127" s="63"/>
      <c r="R127" s="63"/>
      <c r="S127" s="63"/>
      <c r="T127" s="63"/>
    </row>
    <row r="128" spans="1:20" ht="30">
      <c r="A128" s="510"/>
      <c r="B128" s="162" t="s">
        <v>492</v>
      </c>
      <c r="C128" s="165" t="s">
        <v>861</v>
      </c>
      <c r="D128" s="359" t="s">
        <v>1070</v>
      </c>
      <c r="E128" s="168" t="s">
        <v>806</v>
      </c>
      <c r="F128" s="378">
        <v>1</v>
      </c>
      <c r="G128" s="164">
        <v>1100</v>
      </c>
      <c r="H128" s="156">
        <f t="shared" si="10"/>
        <v>1395.35</v>
      </c>
      <c r="I128" s="156">
        <f t="shared" si="11"/>
        <v>1395.35</v>
      </c>
      <c r="K128" s="63"/>
      <c r="L128" s="63"/>
      <c r="M128" s="63"/>
      <c r="N128" s="63"/>
      <c r="O128" s="63"/>
      <c r="P128" s="63"/>
      <c r="Q128" s="63"/>
      <c r="R128" s="63"/>
      <c r="S128" s="63"/>
      <c r="T128" s="63"/>
    </row>
    <row r="129" spans="1:20" ht="30">
      <c r="A129" s="510"/>
      <c r="B129" s="162" t="s">
        <v>493</v>
      </c>
      <c r="C129" s="165" t="s">
        <v>861</v>
      </c>
      <c r="D129" s="359" t="s">
        <v>1068</v>
      </c>
      <c r="E129" s="168" t="s">
        <v>806</v>
      </c>
      <c r="F129" s="378">
        <v>1</v>
      </c>
      <c r="G129" s="164">
        <v>380</v>
      </c>
      <c r="H129" s="156">
        <f t="shared" si="10"/>
        <v>482.03</v>
      </c>
      <c r="I129" s="156">
        <f t="shared" si="11"/>
        <v>482.03</v>
      </c>
      <c r="K129" s="63"/>
      <c r="L129" s="63"/>
      <c r="M129" s="63"/>
      <c r="N129" s="63"/>
      <c r="O129" s="63"/>
      <c r="P129" s="63"/>
      <c r="Q129" s="63"/>
      <c r="R129" s="63"/>
      <c r="S129" s="63"/>
      <c r="T129" s="63"/>
    </row>
    <row r="130" spans="1:20" ht="30">
      <c r="A130" s="510"/>
      <c r="B130" s="162" t="s">
        <v>494</v>
      </c>
      <c r="C130" s="165" t="s">
        <v>861</v>
      </c>
      <c r="D130" s="359" t="s">
        <v>1069</v>
      </c>
      <c r="E130" s="168" t="s">
        <v>806</v>
      </c>
      <c r="F130" s="378">
        <v>1</v>
      </c>
      <c r="G130" s="164">
        <v>350</v>
      </c>
      <c r="H130" s="156">
        <f t="shared" si="10"/>
        <v>443.98</v>
      </c>
      <c r="I130" s="156">
        <f t="shared" si="11"/>
        <v>443.98</v>
      </c>
      <c r="K130" s="63"/>
      <c r="L130" s="63"/>
      <c r="M130" s="63"/>
      <c r="N130" s="63"/>
      <c r="O130" s="63"/>
      <c r="P130" s="63"/>
      <c r="Q130" s="63"/>
      <c r="R130" s="63"/>
      <c r="S130" s="63"/>
      <c r="T130" s="63"/>
    </row>
    <row r="131" spans="1:20" s="207" customFormat="1" ht="30">
      <c r="A131" s="510"/>
      <c r="B131" s="162" t="s">
        <v>495</v>
      </c>
      <c r="C131" s="165" t="s">
        <v>861</v>
      </c>
      <c r="D131" s="359" t="s">
        <v>814</v>
      </c>
      <c r="E131" s="168" t="s">
        <v>806</v>
      </c>
      <c r="F131" s="378">
        <v>1</v>
      </c>
      <c r="G131" s="164">
        <v>400</v>
      </c>
      <c r="H131" s="156">
        <f t="shared" si="10"/>
        <v>507.4</v>
      </c>
      <c r="I131" s="156">
        <f t="shared" si="11"/>
        <v>507.4</v>
      </c>
      <c r="K131" s="208"/>
      <c r="L131" s="208"/>
      <c r="M131" s="208"/>
      <c r="N131" s="208"/>
      <c r="O131" s="208"/>
      <c r="P131" s="208"/>
      <c r="Q131" s="208"/>
      <c r="R131" s="208"/>
      <c r="S131" s="208"/>
      <c r="T131" s="208"/>
    </row>
    <row r="132" spans="1:20" ht="38.25">
      <c r="A132" s="510"/>
      <c r="B132" s="162" t="s">
        <v>496</v>
      </c>
      <c r="C132" s="165" t="s">
        <v>861</v>
      </c>
      <c r="D132" s="359" t="s">
        <v>1071</v>
      </c>
      <c r="E132" s="168" t="s">
        <v>806</v>
      </c>
      <c r="F132" s="378">
        <v>1</v>
      </c>
      <c r="G132" s="164">
        <v>750</v>
      </c>
      <c r="H132" s="156">
        <f>ROUND(G132*1.2685,2)</f>
        <v>951.38</v>
      </c>
      <c r="I132" s="156">
        <f>ROUND(F132*H132,2)</f>
        <v>951.38</v>
      </c>
      <c r="K132" s="63"/>
      <c r="L132" s="63"/>
      <c r="M132" s="63"/>
      <c r="N132" s="63"/>
      <c r="O132" s="63"/>
      <c r="P132" s="63"/>
      <c r="Q132" s="63"/>
      <c r="R132" s="63"/>
      <c r="S132" s="63"/>
      <c r="T132" s="63"/>
    </row>
    <row r="133" spans="1:20" ht="63.75">
      <c r="A133" s="510"/>
      <c r="B133" s="162" t="s">
        <v>497</v>
      </c>
      <c r="C133" s="400" t="s">
        <v>940</v>
      </c>
      <c r="D133" s="359" t="s">
        <v>1073</v>
      </c>
      <c r="E133" s="168" t="s">
        <v>806</v>
      </c>
      <c r="F133" s="378">
        <v>7</v>
      </c>
      <c r="G133" s="164">
        <v>63.68</v>
      </c>
      <c r="H133" s="156">
        <f t="shared" si="10"/>
        <v>80.78</v>
      </c>
      <c r="I133" s="156">
        <f t="shared" si="11"/>
        <v>565.46</v>
      </c>
      <c r="K133" s="63"/>
      <c r="L133" s="63"/>
      <c r="M133" s="63"/>
      <c r="N133" s="63"/>
      <c r="O133" s="63"/>
      <c r="P133" s="63"/>
      <c r="Q133" s="63"/>
      <c r="R133" s="63"/>
      <c r="S133" s="63"/>
      <c r="T133" s="63"/>
    </row>
    <row r="134" spans="1:20" ht="38.25">
      <c r="A134" s="510"/>
      <c r="B134" s="162" t="s">
        <v>498</v>
      </c>
      <c r="C134" s="400" t="s">
        <v>422</v>
      </c>
      <c r="D134" s="359" t="s">
        <v>1072</v>
      </c>
      <c r="E134" s="168" t="s">
        <v>806</v>
      </c>
      <c r="F134" s="379">
        <v>7</v>
      </c>
      <c r="G134" s="209">
        <f>35.75*1.1138</f>
        <v>39.818349999999995</v>
      </c>
      <c r="H134" s="167">
        <f t="shared" si="10"/>
        <v>50.51</v>
      </c>
      <c r="I134" s="167">
        <f t="shared" si="11"/>
        <v>353.57</v>
      </c>
      <c r="K134" s="63"/>
      <c r="L134" s="63"/>
      <c r="M134" s="63"/>
      <c r="N134" s="63"/>
      <c r="O134" s="63"/>
      <c r="P134" s="63"/>
      <c r="Q134" s="63"/>
      <c r="R134" s="63"/>
      <c r="S134" s="63"/>
      <c r="T134" s="63"/>
    </row>
    <row r="135" spans="1:20" ht="38.25">
      <c r="A135" s="510"/>
      <c r="B135" s="162" t="s">
        <v>499</v>
      </c>
      <c r="C135" s="400" t="s">
        <v>861</v>
      </c>
      <c r="D135" s="359" t="s">
        <v>1074</v>
      </c>
      <c r="E135" s="168" t="s">
        <v>806</v>
      </c>
      <c r="F135" s="158">
        <v>11</v>
      </c>
      <c r="G135" s="156">
        <v>42.12</v>
      </c>
      <c r="H135" s="156">
        <f t="shared" si="10"/>
        <v>53.43</v>
      </c>
      <c r="I135" s="156">
        <f t="shared" si="11"/>
        <v>587.73</v>
      </c>
      <c r="K135" s="135"/>
      <c r="L135" s="135"/>
      <c r="M135" s="135"/>
      <c r="N135" s="135"/>
      <c r="O135" s="135"/>
      <c r="P135" s="135"/>
      <c r="Q135" s="135"/>
      <c r="R135" s="135"/>
      <c r="S135" s="135"/>
      <c r="T135" s="135"/>
    </row>
    <row r="136" spans="1:20" s="255" customFormat="1" ht="38.25">
      <c r="A136" s="510"/>
      <c r="B136" s="162" t="s">
        <v>500</v>
      </c>
      <c r="C136" s="165" t="s">
        <v>861</v>
      </c>
      <c r="D136" s="359" t="s">
        <v>1077</v>
      </c>
      <c r="E136" s="168" t="s">
        <v>806</v>
      </c>
      <c r="F136" s="158">
        <v>3</v>
      </c>
      <c r="G136" s="156">
        <v>295.62</v>
      </c>
      <c r="H136" s="156">
        <f t="shared" si="10"/>
        <v>374.99</v>
      </c>
      <c r="I136" s="156">
        <f t="shared" si="11"/>
        <v>1124.97</v>
      </c>
      <c r="K136" s="244"/>
      <c r="L136" s="244"/>
      <c r="M136" s="244"/>
      <c r="N136" s="244"/>
      <c r="O136" s="244"/>
      <c r="P136" s="244"/>
      <c r="Q136" s="244"/>
      <c r="R136" s="244"/>
      <c r="S136" s="244"/>
      <c r="T136" s="244"/>
    </row>
    <row r="137" spans="1:20" ht="63.75">
      <c r="A137" s="510"/>
      <c r="B137" s="162" t="s">
        <v>501</v>
      </c>
      <c r="C137" s="165" t="s">
        <v>861</v>
      </c>
      <c r="D137" s="359" t="s">
        <v>1078</v>
      </c>
      <c r="E137" s="168" t="s">
        <v>806</v>
      </c>
      <c r="F137" s="158">
        <v>2</v>
      </c>
      <c r="G137" s="156">
        <v>375</v>
      </c>
      <c r="H137" s="156">
        <f t="shared" si="10"/>
        <v>475.69</v>
      </c>
      <c r="I137" s="156">
        <f t="shared" si="11"/>
        <v>951.38</v>
      </c>
      <c r="K137" s="63"/>
      <c r="L137" s="63"/>
      <c r="M137" s="63"/>
      <c r="N137" s="63"/>
      <c r="O137" s="63"/>
      <c r="P137" s="63"/>
      <c r="Q137" s="63"/>
      <c r="R137" s="63"/>
      <c r="S137" s="63"/>
      <c r="T137" s="63"/>
    </row>
    <row r="138" spans="1:20" ht="38.25">
      <c r="A138" s="510"/>
      <c r="B138" s="162" t="s">
        <v>502</v>
      </c>
      <c r="C138" s="400" t="s">
        <v>861</v>
      </c>
      <c r="D138" s="359" t="s">
        <v>949</v>
      </c>
      <c r="E138" s="168" t="s">
        <v>806</v>
      </c>
      <c r="F138" s="158">
        <v>1</v>
      </c>
      <c r="G138" s="156">
        <v>213.78</v>
      </c>
      <c r="H138" s="156">
        <f t="shared" si="10"/>
        <v>271.18</v>
      </c>
      <c r="I138" s="156">
        <f t="shared" si="11"/>
        <v>271.18</v>
      </c>
      <c r="K138" s="63"/>
      <c r="L138" s="63"/>
      <c r="M138" s="63"/>
      <c r="N138" s="63"/>
      <c r="O138" s="63"/>
      <c r="P138" s="63"/>
      <c r="Q138" s="63"/>
      <c r="R138" s="63"/>
      <c r="S138" s="63"/>
      <c r="T138" s="63"/>
    </row>
    <row r="139" spans="1:20" ht="38.25">
      <c r="A139" s="510"/>
      <c r="B139" s="162" t="s">
        <v>503</v>
      </c>
      <c r="C139" s="400" t="s">
        <v>861</v>
      </c>
      <c r="D139" s="359" t="s">
        <v>1079</v>
      </c>
      <c r="E139" s="168" t="s">
        <v>806</v>
      </c>
      <c r="F139" s="158">
        <v>6</v>
      </c>
      <c r="G139" s="156">
        <v>120</v>
      </c>
      <c r="H139" s="156">
        <f t="shared" si="10"/>
        <v>152.22</v>
      </c>
      <c r="I139" s="156">
        <f t="shared" si="11"/>
        <v>913.32</v>
      </c>
      <c r="K139" s="63"/>
      <c r="L139" s="63"/>
      <c r="M139" s="63"/>
      <c r="N139" s="63"/>
      <c r="O139" s="63"/>
      <c r="P139" s="63"/>
      <c r="Q139" s="63"/>
      <c r="R139" s="63"/>
      <c r="S139" s="63"/>
      <c r="T139" s="63"/>
    </row>
    <row r="140" spans="1:20" ht="30">
      <c r="A140" s="510"/>
      <c r="B140" s="162" t="s">
        <v>504</v>
      </c>
      <c r="C140" s="400" t="s">
        <v>600</v>
      </c>
      <c r="D140" s="359" t="s">
        <v>1080</v>
      </c>
      <c r="E140" s="168" t="s">
        <v>806</v>
      </c>
      <c r="F140" s="158">
        <v>4</v>
      </c>
      <c r="G140" s="156">
        <f>61.71*1.1138</f>
        <v>68.732597999999996</v>
      </c>
      <c r="H140" s="156">
        <f t="shared" si="10"/>
        <v>87.19</v>
      </c>
      <c r="I140" s="156">
        <f t="shared" si="11"/>
        <v>348.76</v>
      </c>
      <c r="K140" s="63"/>
      <c r="L140" s="63"/>
      <c r="M140" s="63"/>
      <c r="N140" s="63"/>
      <c r="O140" s="63"/>
      <c r="P140" s="63"/>
      <c r="Q140" s="63"/>
      <c r="R140" s="63"/>
      <c r="S140" s="63"/>
      <c r="T140" s="63"/>
    </row>
    <row r="141" spans="1:20" ht="30">
      <c r="A141" s="510"/>
      <c r="B141" s="162" t="s">
        <v>505</v>
      </c>
      <c r="C141" s="400" t="s">
        <v>861</v>
      </c>
      <c r="D141" s="359" t="s">
        <v>1081</v>
      </c>
      <c r="E141" s="168" t="s">
        <v>806</v>
      </c>
      <c r="F141" s="158">
        <v>2</v>
      </c>
      <c r="G141" s="156">
        <v>579</v>
      </c>
      <c r="H141" s="156">
        <f t="shared" si="10"/>
        <v>734.46</v>
      </c>
      <c r="I141" s="156">
        <f t="shared" si="11"/>
        <v>1468.92</v>
      </c>
      <c r="K141" s="63"/>
      <c r="L141" s="63"/>
      <c r="M141" s="63"/>
      <c r="N141" s="63"/>
      <c r="O141" s="63"/>
      <c r="P141" s="63"/>
      <c r="Q141" s="63"/>
      <c r="R141" s="63"/>
      <c r="S141" s="63"/>
      <c r="T141" s="63"/>
    </row>
    <row r="142" spans="1:20" ht="38.25">
      <c r="A142" s="510"/>
      <c r="B142" s="162" t="s">
        <v>506</v>
      </c>
      <c r="C142" s="165" t="s">
        <v>861</v>
      </c>
      <c r="D142" s="359" t="s">
        <v>1082</v>
      </c>
      <c r="E142" s="168" t="s">
        <v>806</v>
      </c>
      <c r="F142" s="158">
        <v>1</v>
      </c>
      <c r="G142" s="156">
        <v>465</v>
      </c>
      <c r="H142" s="156">
        <f t="shared" si="10"/>
        <v>589.85</v>
      </c>
      <c r="I142" s="156">
        <f t="shared" si="11"/>
        <v>589.85</v>
      </c>
      <c r="K142" s="63"/>
      <c r="L142" s="63"/>
      <c r="M142" s="63"/>
      <c r="N142" s="63"/>
      <c r="O142" s="63"/>
      <c r="P142" s="63"/>
      <c r="Q142" s="63"/>
      <c r="R142" s="63"/>
      <c r="S142" s="63"/>
      <c r="T142" s="63"/>
    </row>
    <row r="143" spans="1:20" ht="38.25">
      <c r="A143" s="510"/>
      <c r="B143" s="162" t="s">
        <v>507</v>
      </c>
      <c r="C143" s="165" t="s">
        <v>950</v>
      </c>
      <c r="D143" s="359" t="s">
        <v>815</v>
      </c>
      <c r="E143" s="168" t="s">
        <v>806</v>
      </c>
      <c r="F143" s="158">
        <v>1</v>
      </c>
      <c r="G143" s="156">
        <f>1.1138*478.68</f>
        <v>533.15378399999997</v>
      </c>
      <c r="H143" s="156">
        <f t="shared" si="10"/>
        <v>676.31</v>
      </c>
      <c r="I143" s="156">
        <f t="shared" si="11"/>
        <v>676.31</v>
      </c>
      <c r="K143" s="105"/>
      <c r="L143" s="105"/>
      <c r="M143" s="105"/>
      <c r="N143" s="105"/>
      <c r="O143" s="105"/>
      <c r="P143" s="105"/>
      <c r="Q143" s="105"/>
      <c r="R143" s="105"/>
      <c r="S143" s="105"/>
      <c r="T143" s="105"/>
    </row>
    <row r="144" spans="1:20" ht="38.25">
      <c r="A144" s="510"/>
      <c r="B144" s="162" t="s">
        <v>508</v>
      </c>
      <c r="C144" s="165" t="s">
        <v>383</v>
      </c>
      <c r="D144" s="359" t="s">
        <v>816</v>
      </c>
      <c r="E144" s="168" t="s">
        <v>806</v>
      </c>
      <c r="F144" s="158">
        <v>9</v>
      </c>
      <c r="G144" s="156">
        <f>1.1138*580.65</f>
        <v>646.72796999999991</v>
      </c>
      <c r="H144" s="156">
        <f t="shared" si="10"/>
        <v>820.37</v>
      </c>
      <c r="I144" s="156">
        <f t="shared" si="11"/>
        <v>7383.33</v>
      </c>
      <c r="K144" s="64"/>
      <c r="L144" s="63"/>
      <c r="M144" s="63"/>
      <c r="N144" s="63"/>
      <c r="O144" s="63"/>
      <c r="P144" s="63"/>
      <c r="Q144" s="63"/>
      <c r="R144" s="63"/>
      <c r="S144" s="63"/>
      <c r="T144" s="63"/>
    </row>
    <row r="145" spans="1:20" s="241" customFormat="1" ht="30">
      <c r="A145" s="510"/>
      <c r="B145" s="162" t="s">
        <v>509</v>
      </c>
      <c r="C145" s="165" t="s">
        <v>941</v>
      </c>
      <c r="D145" s="359" t="s">
        <v>817</v>
      </c>
      <c r="E145" s="168" t="s">
        <v>806</v>
      </c>
      <c r="F145" s="158">
        <v>5</v>
      </c>
      <c r="G145" s="156">
        <v>112.72</v>
      </c>
      <c r="H145" s="156">
        <f t="shared" si="10"/>
        <v>142.99</v>
      </c>
      <c r="I145" s="156">
        <f t="shared" si="11"/>
        <v>714.95</v>
      </c>
      <c r="K145" s="242"/>
      <c r="L145" s="242"/>
      <c r="M145" s="242"/>
      <c r="N145" s="242"/>
      <c r="O145" s="242"/>
      <c r="P145" s="242"/>
      <c r="Q145" s="242"/>
      <c r="R145" s="242"/>
      <c r="S145" s="242"/>
      <c r="T145" s="242"/>
    </row>
    <row r="146" spans="1:20" ht="30">
      <c r="A146" s="510"/>
      <c r="B146" s="162" t="s">
        <v>603</v>
      </c>
      <c r="C146" s="165" t="s">
        <v>861</v>
      </c>
      <c r="D146" s="359" t="s">
        <v>818</v>
      </c>
      <c r="E146" s="168" t="s">
        <v>806</v>
      </c>
      <c r="F146" s="158">
        <v>2</v>
      </c>
      <c r="G146" s="156">
        <v>180</v>
      </c>
      <c r="H146" s="156">
        <f t="shared" si="10"/>
        <v>228.33</v>
      </c>
      <c r="I146" s="156">
        <f t="shared" si="11"/>
        <v>456.66</v>
      </c>
      <c r="K146" s="63"/>
      <c r="L146" s="63"/>
      <c r="M146" s="63"/>
      <c r="N146" s="63"/>
      <c r="O146" s="63"/>
      <c r="P146" s="63"/>
      <c r="Q146" s="63"/>
      <c r="R146" s="63"/>
      <c r="S146" s="63"/>
      <c r="T146" s="63"/>
    </row>
    <row r="147" spans="1:20" ht="76.5">
      <c r="A147" s="510"/>
      <c r="B147" s="162" t="s">
        <v>510</v>
      </c>
      <c r="C147" s="165" t="s">
        <v>861</v>
      </c>
      <c r="D147" s="359" t="s">
        <v>1129</v>
      </c>
      <c r="E147" s="168" t="s">
        <v>806</v>
      </c>
      <c r="F147" s="158">
        <v>7</v>
      </c>
      <c r="G147" s="156">
        <v>230</v>
      </c>
      <c r="H147" s="156">
        <f t="shared" si="10"/>
        <v>291.76</v>
      </c>
      <c r="I147" s="156">
        <f t="shared" si="11"/>
        <v>2042.32</v>
      </c>
      <c r="K147" s="63"/>
      <c r="L147" s="63"/>
      <c r="M147" s="63"/>
      <c r="N147" s="63"/>
      <c r="O147" s="63"/>
      <c r="P147" s="63"/>
      <c r="Q147" s="63"/>
      <c r="R147" s="63"/>
      <c r="S147" s="63"/>
      <c r="T147" s="63"/>
    </row>
    <row r="148" spans="1:20" ht="30">
      <c r="A148" s="510"/>
      <c r="B148" s="162" t="s">
        <v>619</v>
      </c>
      <c r="C148" s="165" t="s">
        <v>942</v>
      </c>
      <c r="D148" s="359" t="s">
        <v>819</v>
      </c>
      <c r="E148" s="168" t="s">
        <v>806</v>
      </c>
      <c r="F148" s="158">
        <v>1</v>
      </c>
      <c r="G148" s="156">
        <v>57.73</v>
      </c>
      <c r="H148" s="156">
        <f t="shared" si="10"/>
        <v>73.23</v>
      </c>
      <c r="I148" s="156">
        <f t="shared" si="11"/>
        <v>73.23</v>
      </c>
      <c r="K148" s="63"/>
      <c r="L148" s="63"/>
      <c r="M148" s="63"/>
      <c r="N148" s="63"/>
      <c r="O148" s="63"/>
      <c r="P148" s="63"/>
      <c r="Q148" s="63"/>
      <c r="R148" s="63"/>
      <c r="S148" s="63"/>
      <c r="T148" s="63"/>
    </row>
    <row r="149" spans="1:20" ht="38.25">
      <c r="A149" s="510"/>
      <c r="B149" s="162" t="s">
        <v>587</v>
      </c>
      <c r="C149" s="392" t="s">
        <v>861</v>
      </c>
      <c r="D149" s="359" t="s">
        <v>820</v>
      </c>
      <c r="E149" s="168" t="s">
        <v>806</v>
      </c>
      <c r="F149" s="158">
        <v>2</v>
      </c>
      <c r="G149" s="156">
        <v>1750</v>
      </c>
      <c r="H149" s="156">
        <f t="shared" si="10"/>
        <v>2219.88</v>
      </c>
      <c r="I149" s="156">
        <f t="shared" si="11"/>
        <v>4439.76</v>
      </c>
      <c r="K149" s="63"/>
      <c r="L149" s="63"/>
      <c r="M149" s="63"/>
      <c r="N149" s="63"/>
      <c r="O149" s="63"/>
      <c r="P149" s="63"/>
      <c r="Q149" s="63"/>
      <c r="R149" s="63"/>
      <c r="S149" s="63"/>
      <c r="T149" s="63"/>
    </row>
    <row r="150" spans="1:20" ht="30">
      <c r="A150" s="510"/>
      <c r="B150" s="162" t="s">
        <v>604</v>
      </c>
      <c r="C150" s="392" t="s">
        <v>601</v>
      </c>
      <c r="D150" s="359" t="s">
        <v>1083</v>
      </c>
      <c r="E150" s="168" t="s">
        <v>806</v>
      </c>
      <c r="F150" s="158">
        <v>2</v>
      </c>
      <c r="G150" s="156">
        <f>1.1138*315.52</f>
        <v>351.42617599999994</v>
      </c>
      <c r="H150" s="156">
        <f t="shared" si="10"/>
        <v>445.78</v>
      </c>
      <c r="I150" s="156">
        <f t="shared" si="11"/>
        <v>891.56</v>
      </c>
      <c r="K150" s="63"/>
      <c r="L150" s="63"/>
      <c r="M150" s="63"/>
      <c r="N150" s="63"/>
      <c r="O150" s="63"/>
      <c r="P150" s="63"/>
      <c r="Q150" s="63"/>
      <c r="R150" s="63"/>
      <c r="S150" s="63"/>
      <c r="T150" s="63"/>
    </row>
    <row r="151" spans="1:20" ht="30" customHeight="1">
      <c r="A151" s="510"/>
      <c r="B151" s="162" t="s">
        <v>605</v>
      </c>
      <c r="C151" s="165" t="s">
        <v>861</v>
      </c>
      <c r="D151" s="359" t="s">
        <v>1084</v>
      </c>
      <c r="E151" s="168" t="s">
        <v>806</v>
      </c>
      <c r="F151" s="158">
        <v>1</v>
      </c>
      <c r="G151" s="156">
        <f>1.1138*350</f>
        <v>389.83</v>
      </c>
      <c r="H151" s="156">
        <f t="shared" si="10"/>
        <v>494.5</v>
      </c>
      <c r="I151" s="156">
        <f t="shared" si="11"/>
        <v>494.5</v>
      </c>
      <c r="J151" s="36"/>
      <c r="K151" s="63"/>
      <c r="L151" s="63"/>
      <c r="M151" s="63"/>
      <c r="N151" s="63"/>
      <c r="O151" s="63"/>
      <c r="P151" s="63"/>
      <c r="Q151" s="63"/>
      <c r="R151" s="63"/>
      <c r="S151" s="63"/>
      <c r="T151" s="63"/>
    </row>
    <row r="152" spans="1:20" ht="38.25">
      <c r="A152" s="510"/>
      <c r="B152" s="162" t="s">
        <v>620</v>
      </c>
      <c r="C152" s="392" t="s">
        <v>951</v>
      </c>
      <c r="D152" s="359" t="s">
        <v>821</v>
      </c>
      <c r="E152" s="168" t="s">
        <v>806</v>
      </c>
      <c r="F152" s="158">
        <v>1</v>
      </c>
      <c r="G152" s="156">
        <f>Composição!G16</f>
        <v>1349.6639999999998</v>
      </c>
      <c r="H152" s="156">
        <f t="shared" si="10"/>
        <v>1712.05</v>
      </c>
      <c r="I152" s="156">
        <f t="shared" si="11"/>
        <v>1712.05</v>
      </c>
      <c r="J152" s="36"/>
      <c r="K152" s="63"/>
      <c r="L152" s="63"/>
      <c r="M152" s="63"/>
      <c r="N152" s="63"/>
      <c r="O152" s="63"/>
      <c r="P152" s="63"/>
      <c r="Q152" s="63"/>
      <c r="R152" s="63"/>
      <c r="S152" s="63"/>
      <c r="T152" s="63"/>
    </row>
    <row r="153" spans="1:20" ht="38.25">
      <c r="A153" s="510"/>
      <c r="B153" s="162" t="s">
        <v>621</v>
      </c>
      <c r="C153" s="392" t="s">
        <v>952</v>
      </c>
      <c r="D153" s="359" t="s">
        <v>1128</v>
      </c>
      <c r="E153" s="171" t="s">
        <v>805</v>
      </c>
      <c r="F153" s="158">
        <f>(6*(1.03*2))+1.8</f>
        <v>14.16</v>
      </c>
      <c r="G153" s="156">
        <v>490.33</v>
      </c>
      <c r="H153" s="156">
        <f t="shared" si="10"/>
        <v>621.98</v>
      </c>
      <c r="I153" s="156">
        <f t="shared" si="11"/>
        <v>8807.24</v>
      </c>
      <c r="J153" s="36"/>
      <c r="K153" s="105"/>
      <c r="L153" s="105"/>
      <c r="M153" s="105"/>
      <c r="N153" s="105"/>
      <c r="O153" s="105"/>
      <c r="P153" s="105"/>
      <c r="Q153" s="105"/>
      <c r="R153" s="105"/>
      <c r="S153" s="105"/>
      <c r="T153" s="105"/>
    </row>
    <row r="154" spans="1:20" s="241" customFormat="1" ht="38.25">
      <c r="A154" s="510"/>
      <c r="B154" s="162" t="s">
        <v>622</v>
      </c>
      <c r="C154" s="400" t="s">
        <v>861</v>
      </c>
      <c r="D154" s="359" t="s">
        <v>1085</v>
      </c>
      <c r="E154" s="168" t="s">
        <v>806</v>
      </c>
      <c r="F154" s="170">
        <v>1</v>
      </c>
      <c r="G154" s="333">
        <v>3260</v>
      </c>
      <c r="H154" s="156">
        <f t="shared" si="10"/>
        <v>4135.3100000000004</v>
      </c>
      <c r="I154" s="156">
        <f t="shared" si="11"/>
        <v>4135.3100000000004</v>
      </c>
      <c r="J154" s="36"/>
      <c r="K154" s="242"/>
      <c r="L154" s="242"/>
      <c r="M154" s="242"/>
      <c r="N154" s="242"/>
      <c r="O154" s="242"/>
      <c r="P154" s="242"/>
      <c r="Q154" s="242"/>
      <c r="R154" s="242"/>
      <c r="S154" s="242"/>
      <c r="T154" s="242"/>
    </row>
    <row r="155" spans="1:20" s="301" customFormat="1" ht="38.25">
      <c r="A155" s="510"/>
      <c r="B155" s="162" t="s">
        <v>623</v>
      </c>
      <c r="C155" s="400" t="s">
        <v>384</v>
      </c>
      <c r="D155" s="394" t="s">
        <v>1086</v>
      </c>
      <c r="E155" s="168" t="s">
        <v>806</v>
      </c>
      <c r="F155" s="170">
        <v>1</v>
      </c>
      <c r="G155" s="333">
        <f>1.1138*595.92</f>
        <v>663.73569599999985</v>
      </c>
      <c r="H155" s="156">
        <f t="shared" si="10"/>
        <v>841.95</v>
      </c>
      <c r="I155" s="156">
        <f t="shared" si="11"/>
        <v>841.95</v>
      </c>
      <c r="J155" s="36"/>
      <c r="K155" s="244"/>
      <c r="L155" s="244"/>
      <c r="M155" s="244"/>
      <c r="N155" s="244"/>
      <c r="O155" s="244"/>
      <c r="P155" s="244"/>
      <c r="Q155" s="244"/>
      <c r="R155" s="244"/>
      <c r="S155" s="244"/>
      <c r="T155" s="244"/>
    </row>
    <row r="156" spans="1:20" s="301" customFormat="1" ht="30">
      <c r="A156" s="510"/>
      <c r="B156" s="162" t="s">
        <v>758</v>
      </c>
      <c r="C156" s="400" t="s">
        <v>588</v>
      </c>
      <c r="D156" s="359" t="s">
        <v>1130</v>
      </c>
      <c r="E156" s="168" t="s">
        <v>806</v>
      </c>
      <c r="F156" s="170">
        <v>2</v>
      </c>
      <c r="G156" s="333">
        <f>1.1138*1175.25</f>
        <v>1308.9934499999999</v>
      </c>
      <c r="H156" s="156">
        <f t="shared" si="10"/>
        <v>1660.46</v>
      </c>
      <c r="I156" s="156">
        <f t="shared" si="11"/>
        <v>3320.92</v>
      </c>
      <c r="J156" s="36"/>
      <c r="K156" s="244"/>
      <c r="L156" s="244"/>
      <c r="M156" s="244"/>
      <c r="N156" s="244"/>
      <c r="O156" s="244"/>
      <c r="P156" s="244"/>
      <c r="Q156" s="244"/>
      <c r="R156" s="244"/>
      <c r="S156" s="244"/>
      <c r="T156" s="244"/>
    </row>
    <row r="157" spans="1:20" ht="51">
      <c r="A157" s="510"/>
      <c r="B157" s="162" t="s">
        <v>770</v>
      </c>
      <c r="C157" s="400" t="s">
        <v>954</v>
      </c>
      <c r="D157" s="359" t="s">
        <v>822</v>
      </c>
      <c r="E157" s="168" t="s">
        <v>806</v>
      </c>
      <c r="F157" s="170">
        <v>2</v>
      </c>
      <c r="G157" s="333">
        <f>Composição!G59</f>
        <v>678.794444</v>
      </c>
      <c r="H157" s="156">
        <f t="shared" si="10"/>
        <v>861.05</v>
      </c>
      <c r="I157" s="156">
        <f t="shared" si="11"/>
        <v>1722.1</v>
      </c>
      <c r="J157" s="488"/>
      <c r="K157" s="487"/>
      <c r="L157" s="63"/>
      <c r="M157" s="63"/>
      <c r="N157" s="63"/>
      <c r="O157" s="63"/>
      <c r="P157" s="63"/>
      <c r="Q157" s="63"/>
      <c r="R157" s="63"/>
      <c r="S157" s="63"/>
      <c r="T157" s="63"/>
    </row>
    <row r="158" spans="1:20" s="205" customFormat="1" ht="63.75">
      <c r="A158" s="510"/>
      <c r="B158" s="334" t="s">
        <v>771</v>
      </c>
      <c r="C158" s="401" t="s">
        <v>955</v>
      </c>
      <c r="D158" s="360" t="s">
        <v>953</v>
      </c>
      <c r="E158" s="385" t="s">
        <v>806</v>
      </c>
      <c r="F158" s="376">
        <v>1</v>
      </c>
      <c r="G158" s="338">
        <f>Composição!G70</f>
        <v>2400.0025999999998</v>
      </c>
      <c r="H158" s="323">
        <f t="shared" si="10"/>
        <v>3044.4</v>
      </c>
      <c r="I158" s="323">
        <f t="shared" si="11"/>
        <v>3044.4</v>
      </c>
      <c r="J158" s="488"/>
      <c r="K158" s="487"/>
      <c r="L158" s="206"/>
      <c r="M158" s="206"/>
      <c r="N158" s="206"/>
      <c r="O158" s="206"/>
      <c r="P158" s="206"/>
      <c r="Q158" s="206"/>
      <c r="R158" s="206"/>
      <c r="S158" s="206"/>
      <c r="T158" s="206"/>
    </row>
    <row r="159" spans="1:20" s="282" customFormat="1">
      <c r="A159" s="510"/>
      <c r="B159" s="361" t="s">
        <v>66</v>
      </c>
      <c r="C159" s="362"/>
      <c r="D159" s="363" t="s">
        <v>47</v>
      </c>
      <c r="E159" s="363"/>
      <c r="F159" s="363"/>
      <c r="G159" s="363"/>
      <c r="H159" s="363"/>
      <c r="I159" s="364">
        <f>SUM(I160:I171)</f>
        <v>48793.120000000003</v>
      </c>
      <c r="J159" s="36"/>
      <c r="K159" s="244"/>
      <c r="L159" s="244"/>
      <c r="M159" s="244"/>
      <c r="N159" s="244"/>
      <c r="O159" s="244"/>
      <c r="P159" s="244"/>
      <c r="Q159" s="244"/>
      <c r="R159" s="244"/>
      <c r="S159" s="244"/>
      <c r="T159" s="244"/>
    </row>
    <row r="160" spans="1:20">
      <c r="A160" s="510"/>
      <c r="B160" s="330" t="s">
        <v>68</v>
      </c>
      <c r="C160" s="399" t="s">
        <v>956</v>
      </c>
      <c r="D160" s="365" t="s">
        <v>824</v>
      </c>
      <c r="E160" s="331" t="s">
        <v>807</v>
      </c>
      <c r="F160" s="349">
        <f>(39.37*1.2*0.4)+(8.97*1.2*0.3)+(1.27*19.09*0.5)+(15.75*1.158*0.3)</f>
        <v>39.720499999999994</v>
      </c>
      <c r="G160" s="332">
        <f>44.16*1.0589</f>
        <v>46.761023999999992</v>
      </c>
      <c r="H160" s="319">
        <f t="shared" si="10"/>
        <v>59.32</v>
      </c>
      <c r="I160" s="319">
        <f t="shared" si="11"/>
        <v>2356.2199999999998</v>
      </c>
      <c r="J160" s="233"/>
      <c r="K160" s="487"/>
      <c r="L160" s="63"/>
      <c r="M160" s="63"/>
      <c r="N160" s="63"/>
      <c r="O160" s="63"/>
      <c r="P160" s="63"/>
      <c r="Q160" s="63"/>
      <c r="R160" s="63"/>
      <c r="S160" s="63"/>
      <c r="T160" s="63"/>
    </row>
    <row r="161" spans="1:20">
      <c r="A161" s="510"/>
      <c r="B161" s="162" t="s">
        <v>69</v>
      </c>
      <c r="C161" s="387" t="s">
        <v>957</v>
      </c>
      <c r="D161" s="366" t="s">
        <v>825</v>
      </c>
      <c r="E161" s="160" t="s">
        <v>807</v>
      </c>
      <c r="F161" s="158">
        <f>(32.49*0.9675*0.5)+(9.39*0.825*0.5)+(18*1*0.4)+(16.48*0.96*0.5)+(44.31*0.3*0.2)</f>
        <v>37.359412500000005</v>
      </c>
      <c r="G161" s="156">
        <f>39.43*1.0589</f>
        <v>41.752426999999997</v>
      </c>
      <c r="H161" s="156">
        <f>ROUND(G161*1.2685,2)</f>
        <v>52.96</v>
      </c>
      <c r="I161" s="156">
        <f>ROUND(F161*H161,2)</f>
        <v>1978.55</v>
      </c>
      <c r="J161" s="488"/>
      <c r="K161" s="487"/>
      <c r="L161" s="63"/>
      <c r="M161" s="63"/>
      <c r="N161" s="63"/>
      <c r="O161" s="63"/>
      <c r="P161" s="63"/>
      <c r="Q161" s="63"/>
      <c r="R161" s="63"/>
      <c r="S161" s="63"/>
      <c r="T161" s="63"/>
    </row>
    <row r="162" spans="1:20" ht="38.25">
      <c r="A162" s="510"/>
      <c r="B162" s="162" t="s">
        <v>70</v>
      </c>
      <c r="C162" s="400" t="s">
        <v>861</v>
      </c>
      <c r="D162" s="366" t="s">
        <v>1131</v>
      </c>
      <c r="E162" s="168" t="s">
        <v>806</v>
      </c>
      <c r="F162" s="158">
        <v>11</v>
      </c>
      <c r="G162" s="164">
        <v>180</v>
      </c>
      <c r="H162" s="156">
        <f t="shared" ref="H162:H212" si="12">ROUND(G162*1.2685,2)</f>
        <v>228.33</v>
      </c>
      <c r="I162" s="156">
        <f t="shared" ref="I162:I212" si="13">ROUND(F162*H162,2)</f>
        <v>2511.63</v>
      </c>
      <c r="K162" s="99"/>
      <c r="L162" s="99"/>
      <c r="M162" s="99"/>
      <c r="N162" s="99"/>
      <c r="O162" s="99"/>
      <c r="P162" s="99"/>
      <c r="Q162" s="99"/>
      <c r="R162" s="99"/>
      <c r="S162" s="99"/>
      <c r="T162" s="99"/>
    </row>
    <row r="163" spans="1:20" ht="38.25">
      <c r="A163" s="510"/>
      <c r="B163" s="162" t="s">
        <v>71</v>
      </c>
      <c r="C163" s="400" t="s">
        <v>861</v>
      </c>
      <c r="D163" s="366" t="s">
        <v>1087</v>
      </c>
      <c r="E163" s="168" t="s">
        <v>806</v>
      </c>
      <c r="F163" s="158">
        <v>7</v>
      </c>
      <c r="G163" s="164">
        <v>360</v>
      </c>
      <c r="H163" s="156">
        <f t="shared" si="12"/>
        <v>456.66</v>
      </c>
      <c r="I163" s="156">
        <f t="shared" si="13"/>
        <v>3196.62</v>
      </c>
      <c r="K163" s="63"/>
      <c r="L163" s="63"/>
      <c r="M163" s="63"/>
      <c r="N163" s="63"/>
      <c r="O163" s="63"/>
      <c r="P163" s="63"/>
      <c r="Q163" s="63"/>
      <c r="R163" s="63"/>
      <c r="S163" s="63"/>
      <c r="T163" s="63"/>
    </row>
    <row r="164" spans="1:20" ht="38.25">
      <c r="A164" s="510"/>
      <c r="B164" s="162" t="s">
        <v>753</v>
      </c>
      <c r="C164" s="400" t="s">
        <v>861</v>
      </c>
      <c r="D164" s="366" t="s">
        <v>1088</v>
      </c>
      <c r="E164" s="168" t="s">
        <v>806</v>
      </c>
      <c r="F164" s="158">
        <v>2</v>
      </c>
      <c r="G164" s="164">
        <f>1.7*G163</f>
        <v>612</v>
      </c>
      <c r="H164" s="156">
        <f t="shared" si="12"/>
        <v>776.32</v>
      </c>
      <c r="I164" s="156">
        <f t="shared" si="13"/>
        <v>1552.64</v>
      </c>
      <c r="K164" s="63"/>
      <c r="L164" s="63"/>
      <c r="M164" s="63"/>
      <c r="N164" s="63"/>
      <c r="O164" s="63"/>
      <c r="P164" s="63"/>
      <c r="Q164" s="63"/>
      <c r="R164" s="63"/>
      <c r="S164" s="63"/>
      <c r="T164" s="63"/>
    </row>
    <row r="165" spans="1:20" ht="25.5">
      <c r="A165" s="510"/>
      <c r="B165" s="162" t="s">
        <v>754</v>
      </c>
      <c r="C165" s="165" t="s">
        <v>958</v>
      </c>
      <c r="D165" s="366" t="s">
        <v>826</v>
      </c>
      <c r="E165" s="160" t="s">
        <v>808</v>
      </c>
      <c r="F165" s="158">
        <f>'Quantitativo '!H190</f>
        <v>54.99</v>
      </c>
      <c r="G165" s="156">
        <v>22.47</v>
      </c>
      <c r="H165" s="156">
        <f t="shared" si="12"/>
        <v>28.5</v>
      </c>
      <c r="I165" s="156">
        <f t="shared" si="13"/>
        <v>1567.22</v>
      </c>
      <c r="K165" s="63"/>
      <c r="L165" s="63"/>
      <c r="M165" s="63"/>
      <c r="N165" s="63"/>
      <c r="O165" s="63"/>
      <c r="P165" s="63"/>
      <c r="Q165" s="63"/>
      <c r="R165" s="63"/>
      <c r="S165" s="63"/>
      <c r="T165" s="63"/>
    </row>
    <row r="166" spans="1:20">
      <c r="A166" s="510"/>
      <c r="B166" s="162" t="s">
        <v>72</v>
      </c>
      <c r="C166" s="400" t="s">
        <v>959</v>
      </c>
      <c r="D166" s="366" t="s">
        <v>810</v>
      </c>
      <c r="E166" s="168" t="s">
        <v>806</v>
      </c>
      <c r="F166" s="170">
        <v>18</v>
      </c>
      <c r="G166" s="164">
        <v>27.28</v>
      </c>
      <c r="H166" s="156">
        <f>ROUND(G166*1.2685,2)</f>
        <v>34.6</v>
      </c>
      <c r="I166" s="156">
        <f>ROUND(F166*H166,2)</f>
        <v>622.79999999999995</v>
      </c>
      <c r="K166" s="63"/>
      <c r="L166" s="63"/>
      <c r="M166" s="63"/>
      <c r="N166" s="63"/>
      <c r="O166" s="63"/>
      <c r="P166" s="63"/>
      <c r="Q166" s="63"/>
      <c r="R166" s="63"/>
      <c r="S166" s="63"/>
      <c r="T166" s="63"/>
    </row>
    <row r="167" spans="1:20" ht="25.5">
      <c r="A167" s="510"/>
      <c r="B167" s="162" t="s">
        <v>391</v>
      </c>
      <c r="C167" s="165" t="s">
        <v>960</v>
      </c>
      <c r="D167" s="366" t="s">
        <v>1089</v>
      </c>
      <c r="E167" s="160" t="s">
        <v>808</v>
      </c>
      <c r="F167" s="158">
        <v>57.36</v>
      </c>
      <c r="G167" s="156">
        <v>89.43</v>
      </c>
      <c r="H167" s="156">
        <f t="shared" si="12"/>
        <v>113.44</v>
      </c>
      <c r="I167" s="156">
        <f t="shared" si="13"/>
        <v>6506.92</v>
      </c>
      <c r="K167" s="63"/>
      <c r="L167" s="63"/>
      <c r="M167" s="63"/>
      <c r="N167" s="63"/>
      <c r="O167" s="63"/>
      <c r="P167" s="63"/>
      <c r="Q167" s="63"/>
      <c r="R167" s="63"/>
      <c r="S167" s="63"/>
      <c r="T167" s="63"/>
    </row>
    <row r="168" spans="1:20" ht="25.5">
      <c r="A168" s="510"/>
      <c r="B168" s="162" t="s">
        <v>403</v>
      </c>
      <c r="C168" s="165" t="s">
        <v>961</v>
      </c>
      <c r="D168" s="366" t="s">
        <v>1090</v>
      </c>
      <c r="E168" s="160" t="s">
        <v>808</v>
      </c>
      <c r="F168" s="158">
        <v>77.78</v>
      </c>
      <c r="G168" s="156">
        <v>110.23</v>
      </c>
      <c r="H168" s="156">
        <f t="shared" si="12"/>
        <v>139.83000000000001</v>
      </c>
      <c r="I168" s="156">
        <f t="shared" si="13"/>
        <v>10875.98</v>
      </c>
      <c r="K168" s="63"/>
      <c r="L168" s="63"/>
      <c r="M168" s="63"/>
      <c r="N168" s="63"/>
      <c r="O168" s="63"/>
      <c r="P168" s="63"/>
      <c r="Q168" s="63"/>
      <c r="R168" s="63"/>
      <c r="S168" s="63"/>
      <c r="T168" s="63"/>
    </row>
    <row r="169" spans="1:20" s="179" customFormat="1" ht="30">
      <c r="A169" s="510"/>
      <c r="B169" s="162" t="s">
        <v>404</v>
      </c>
      <c r="C169" s="165" t="s">
        <v>567</v>
      </c>
      <c r="D169" s="366" t="s">
        <v>1091</v>
      </c>
      <c r="E169" s="161" t="s">
        <v>808</v>
      </c>
      <c r="F169" s="170">
        <f>70.38+3.6</f>
        <v>73.97999999999999</v>
      </c>
      <c r="G169" s="167">
        <f>94.38*1.1138</f>
        <v>105.12044399999999</v>
      </c>
      <c r="H169" s="156">
        <f>ROUND(G169*1.2685,2)</f>
        <v>133.35</v>
      </c>
      <c r="I169" s="166">
        <f>ROUND(F169*H169,2)</f>
        <v>9865.23</v>
      </c>
      <c r="K169" s="180"/>
      <c r="L169" s="180"/>
      <c r="M169" s="180"/>
      <c r="N169" s="180"/>
      <c r="O169" s="180"/>
      <c r="P169" s="180"/>
      <c r="Q169" s="180"/>
      <c r="R169" s="180"/>
      <c r="S169" s="180"/>
      <c r="T169" s="180"/>
    </row>
    <row r="170" spans="1:20" ht="30">
      <c r="A170" s="510"/>
      <c r="B170" s="162" t="s">
        <v>755</v>
      </c>
      <c r="C170" s="165" t="s">
        <v>1023</v>
      </c>
      <c r="D170" s="366" t="s">
        <v>1124</v>
      </c>
      <c r="E170" s="161" t="s">
        <v>808</v>
      </c>
      <c r="F170" s="170">
        <v>120</v>
      </c>
      <c r="G170" s="167">
        <f>43.64*1.0589</f>
        <v>46.210395999999996</v>
      </c>
      <c r="H170" s="156">
        <f>ROUND(G170*1.2685,2)</f>
        <v>58.62</v>
      </c>
      <c r="I170" s="166">
        <f>ROUND(F170*H170,2)</f>
        <v>7034.4</v>
      </c>
      <c r="K170" s="63"/>
      <c r="L170" s="63"/>
      <c r="M170" s="63"/>
      <c r="N170" s="63"/>
      <c r="O170" s="63"/>
      <c r="P170" s="63"/>
      <c r="Q170" s="63"/>
      <c r="R170" s="63"/>
      <c r="S170" s="63"/>
      <c r="T170" s="63"/>
    </row>
    <row r="171" spans="1:20" s="210" customFormat="1" ht="30">
      <c r="A171" s="510"/>
      <c r="B171" s="334" t="s">
        <v>756</v>
      </c>
      <c r="C171" s="401" t="s">
        <v>396</v>
      </c>
      <c r="D171" s="367" t="s">
        <v>1092</v>
      </c>
      <c r="E171" s="335" t="s">
        <v>808</v>
      </c>
      <c r="F171" s="376">
        <v>44.31</v>
      </c>
      <c r="G171" s="336">
        <f>11.58*1.1138</f>
        <v>12.897803999999999</v>
      </c>
      <c r="H171" s="323">
        <f t="shared" si="12"/>
        <v>16.36</v>
      </c>
      <c r="I171" s="323">
        <f t="shared" si="13"/>
        <v>724.91</v>
      </c>
      <c r="K171" s="212"/>
      <c r="L171" s="212"/>
      <c r="M171" s="212"/>
      <c r="N171" s="212"/>
      <c r="O171" s="212"/>
      <c r="P171" s="212"/>
      <c r="Q171" s="212"/>
      <c r="R171" s="212"/>
      <c r="S171" s="212"/>
      <c r="T171" s="212"/>
    </row>
    <row r="172" spans="1:20" s="210" customFormat="1">
      <c r="A172" s="510"/>
      <c r="B172" s="518" t="s">
        <v>73</v>
      </c>
      <c r="C172" s="159"/>
      <c r="D172" s="146" t="s">
        <v>52</v>
      </c>
      <c r="E172" s="146"/>
      <c r="F172" s="146"/>
      <c r="G172" s="146"/>
      <c r="H172" s="146"/>
      <c r="I172" s="499">
        <f>SUM(I173:I212)</f>
        <v>107644.89</v>
      </c>
      <c r="K172" s="212"/>
      <c r="L172" s="212"/>
      <c r="M172" s="212"/>
      <c r="N172" s="212"/>
      <c r="O172" s="212"/>
      <c r="P172" s="212"/>
      <c r="Q172" s="212"/>
      <c r="R172" s="212"/>
      <c r="S172" s="212"/>
      <c r="T172" s="212"/>
    </row>
    <row r="173" spans="1:20" ht="114.75">
      <c r="A173" s="510"/>
      <c r="B173" s="315" t="s">
        <v>75</v>
      </c>
      <c r="C173" s="395" t="s">
        <v>861</v>
      </c>
      <c r="D173" s="365" t="s">
        <v>984</v>
      </c>
      <c r="E173" s="325" t="s">
        <v>805</v>
      </c>
      <c r="F173" s="377">
        <v>641.65</v>
      </c>
      <c r="G173" s="319">
        <v>3.9</v>
      </c>
      <c r="H173" s="319">
        <f t="shared" si="12"/>
        <v>4.95</v>
      </c>
      <c r="I173" s="319">
        <f>ROUND(F173*H173,2)</f>
        <v>3176.17</v>
      </c>
      <c r="K173" s="63"/>
      <c r="L173" s="63"/>
      <c r="M173" s="63"/>
      <c r="N173" s="63"/>
      <c r="O173" s="63"/>
      <c r="P173" s="63"/>
      <c r="Q173" s="63"/>
      <c r="R173" s="63"/>
      <c r="S173" s="63"/>
      <c r="T173" s="63"/>
    </row>
    <row r="174" spans="1:20" ht="89.25">
      <c r="A174" s="510"/>
      <c r="B174" s="154" t="s">
        <v>76</v>
      </c>
      <c r="C174" s="165" t="s">
        <v>861</v>
      </c>
      <c r="D174" s="366" t="s">
        <v>1132</v>
      </c>
      <c r="E174" s="168" t="s">
        <v>806</v>
      </c>
      <c r="F174" s="170">
        <v>1</v>
      </c>
      <c r="G174" s="156">
        <f>6587</f>
        <v>6587</v>
      </c>
      <c r="H174" s="156">
        <f t="shared" si="12"/>
        <v>8355.61</v>
      </c>
      <c r="I174" s="156">
        <f>ROUND(F174*H174,2)</f>
        <v>8355.61</v>
      </c>
      <c r="K174" s="63"/>
      <c r="L174" s="63"/>
      <c r="M174" s="63"/>
      <c r="N174" s="63"/>
      <c r="O174" s="63"/>
      <c r="P174" s="63"/>
      <c r="Q174" s="63"/>
      <c r="R174" s="63"/>
      <c r="S174" s="63"/>
      <c r="T174" s="63"/>
    </row>
    <row r="175" spans="1:20">
      <c r="A175" s="510"/>
      <c r="B175" s="154" t="s">
        <v>77</v>
      </c>
      <c r="C175" s="165" t="s">
        <v>962</v>
      </c>
      <c r="D175" s="366" t="s">
        <v>827</v>
      </c>
      <c r="E175" s="161" t="s">
        <v>808</v>
      </c>
      <c r="F175" s="170">
        <f>1.1*(184.1+(135))</f>
        <v>351.01000000000005</v>
      </c>
      <c r="G175" s="156">
        <v>7.23</v>
      </c>
      <c r="H175" s="156">
        <f t="shared" si="12"/>
        <v>9.17</v>
      </c>
      <c r="I175" s="156">
        <f t="shared" si="13"/>
        <v>3218.76</v>
      </c>
      <c r="K175" s="63"/>
      <c r="L175" s="63"/>
      <c r="M175" s="63"/>
      <c r="N175" s="63"/>
      <c r="O175" s="63"/>
      <c r="P175" s="63"/>
      <c r="Q175" s="63"/>
      <c r="R175" s="63"/>
      <c r="S175" s="63"/>
      <c r="T175" s="63"/>
    </row>
    <row r="176" spans="1:20" s="416" customFormat="1">
      <c r="A176" s="510"/>
      <c r="B176" s="154" t="s">
        <v>78</v>
      </c>
      <c r="C176" s="165" t="s">
        <v>1094</v>
      </c>
      <c r="D176" s="366" t="s">
        <v>1095</v>
      </c>
      <c r="E176" s="161" t="s">
        <v>808</v>
      </c>
      <c r="F176" s="170">
        <f>135*1.1</f>
        <v>148.5</v>
      </c>
      <c r="G176" s="156">
        <v>10.49</v>
      </c>
      <c r="H176" s="156">
        <f t="shared" si="12"/>
        <v>13.31</v>
      </c>
      <c r="I176" s="156">
        <f t="shared" si="13"/>
        <v>1976.54</v>
      </c>
      <c r="K176" s="244"/>
      <c r="L176" s="244"/>
      <c r="M176" s="244"/>
      <c r="N176" s="244"/>
      <c r="O176" s="244"/>
      <c r="P176" s="244"/>
      <c r="Q176" s="244"/>
      <c r="R176" s="244"/>
      <c r="S176" s="244"/>
      <c r="T176" s="244"/>
    </row>
    <row r="177" spans="1:20">
      <c r="A177" s="510"/>
      <c r="B177" s="154" t="s">
        <v>79</v>
      </c>
      <c r="C177" s="165" t="s">
        <v>963</v>
      </c>
      <c r="D177" s="366" t="s">
        <v>828</v>
      </c>
      <c r="E177" s="161" t="s">
        <v>808</v>
      </c>
      <c r="F177" s="170">
        <f>42.7*1.1</f>
        <v>46.970000000000006</v>
      </c>
      <c r="G177" s="156">
        <v>11.05</v>
      </c>
      <c r="H177" s="156">
        <f t="shared" si="12"/>
        <v>14.02</v>
      </c>
      <c r="I177" s="156">
        <f t="shared" si="13"/>
        <v>658.52</v>
      </c>
      <c r="K177" s="63"/>
      <c r="L177" s="63"/>
      <c r="M177" s="63"/>
      <c r="N177" s="63"/>
      <c r="O177" s="63"/>
      <c r="P177" s="63"/>
      <c r="Q177" s="63"/>
      <c r="R177" s="63"/>
      <c r="S177" s="63"/>
      <c r="T177" s="63"/>
    </row>
    <row r="178" spans="1:20">
      <c r="A178" s="510"/>
      <c r="B178" s="154" t="s">
        <v>80</v>
      </c>
      <c r="C178" s="165" t="s">
        <v>964</v>
      </c>
      <c r="D178" s="366" t="s">
        <v>829</v>
      </c>
      <c r="E178" s="161" t="s">
        <v>808</v>
      </c>
      <c r="F178" s="170">
        <f>59.12*1.1</f>
        <v>65.031999999999996</v>
      </c>
      <c r="G178" s="156">
        <v>15.08</v>
      </c>
      <c r="H178" s="156">
        <f t="shared" si="12"/>
        <v>19.13</v>
      </c>
      <c r="I178" s="156">
        <f t="shared" si="13"/>
        <v>1244.06</v>
      </c>
      <c r="K178" s="63"/>
      <c r="L178" s="63"/>
      <c r="M178" s="63"/>
      <c r="N178" s="63"/>
      <c r="O178" s="63"/>
      <c r="P178" s="63"/>
      <c r="Q178" s="63"/>
      <c r="R178" s="63"/>
      <c r="S178" s="63"/>
      <c r="T178" s="63"/>
    </row>
    <row r="179" spans="1:20">
      <c r="A179" s="510"/>
      <c r="B179" s="154" t="s">
        <v>81</v>
      </c>
      <c r="C179" s="165" t="s">
        <v>965</v>
      </c>
      <c r="D179" s="366" t="s">
        <v>830</v>
      </c>
      <c r="E179" s="161" t="s">
        <v>808</v>
      </c>
      <c r="F179" s="170">
        <f>29.1*1.1</f>
        <v>32.010000000000005</v>
      </c>
      <c r="G179" s="156">
        <v>15.6</v>
      </c>
      <c r="H179" s="156">
        <f t="shared" si="12"/>
        <v>19.79</v>
      </c>
      <c r="I179" s="156">
        <f t="shared" si="13"/>
        <v>633.48</v>
      </c>
      <c r="K179" s="63"/>
      <c r="L179" s="63"/>
      <c r="M179" s="63"/>
      <c r="N179" s="63"/>
      <c r="O179" s="63"/>
      <c r="P179" s="63"/>
      <c r="Q179" s="63"/>
      <c r="R179" s="63"/>
      <c r="S179" s="63"/>
      <c r="T179" s="63"/>
    </row>
    <row r="180" spans="1:20">
      <c r="A180" s="510"/>
      <c r="B180" s="154" t="s">
        <v>82</v>
      </c>
      <c r="C180" s="165" t="s">
        <v>966</v>
      </c>
      <c r="D180" s="366" t="s">
        <v>831</v>
      </c>
      <c r="E180" s="161" t="s">
        <v>808</v>
      </c>
      <c r="F180" s="170">
        <f>55.6*1.1</f>
        <v>61.160000000000004</v>
      </c>
      <c r="G180" s="158">
        <v>21.2</v>
      </c>
      <c r="H180" s="156">
        <f t="shared" si="12"/>
        <v>26.89</v>
      </c>
      <c r="I180" s="156">
        <f t="shared" si="13"/>
        <v>1644.59</v>
      </c>
      <c r="K180" s="63"/>
      <c r="L180" s="63"/>
      <c r="M180" s="63"/>
      <c r="N180" s="63"/>
      <c r="O180" s="63"/>
      <c r="P180" s="63"/>
      <c r="Q180" s="63"/>
      <c r="R180" s="63"/>
      <c r="S180" s="63"/>
      <c r="T180" s="63"/>
    </row>
    <row r="181" spans="1:20">
      <c r="A181" s="510"/>
      <c r="B181" s="154" t="s">
        <v>511</v>
      </c>
      <c r="C181" s="165" t="s">
        <v>861</v>
      </c>
      <c r="D181" s="366" t="s">
        <v>985</v>
      </c>
      <c r="E181" s="168" t="s">
        <v>806</v>
      </c>
      <c r="F181" s="170">
        <v>20</v>
      </c>
      <c r="G181" s="158">
        <f>6.39*1.1</f>
        <v>7.0289999999999999</v>
      </c>
      <c r="H181" s="156">
        <f t="shared" si="12"/>
        <v>8.92</v>
      </c>
      <c r="I181" s="156">
        <f t="shared" si="13"/>
        <v>178.4</v>
      </c>
      <c r="K181" s="63"/>
      <c r="L181" s="63"/>
      <c r="M181" s="63"/>
      <c r="N181" s="63"/>
      <c r="O181" s="63"/>
      <c r="P181" s="63"/>
      <c r="Q181" s="63"/>
      <c r="R181" s="63"/>
      <c r="S181" s="63"/>
      <c r="T181" s="63"/>
    </row>
    <row r="182" spans="1:20" ht="25.5">
      <c r="A182" s="510"/>
      <c r="B182" s="154" t="s">
        <v>512</v>
      </c>
      <c r="C182" s="165" t="s">
        <v>861</v>
      </c>
      <c r="D182" s="366" t="s">
        <v>986</v>
      </c>
      <c r="E182" s="168" t="s">
        <v>806</v>
      </c>
      <c r="F182" s="170">
        <v>10</v>
      </c>
      <c r="G182" s="158">
        <f>7.12*1.1</f>
        <v>7.8320000000000007</v>
      </c>
      <c r="H182" s="156">
        <f t="shared" si="12"/>
        <v>9.93</v>
      </c>
      <c r="I182" s="156">
        <f t="shared" si="13"/>
        <v>99.3</v>
      </c>
      <c r="K182" s="63"/>
      <c r="L182" s="63"/>
      <c r="M182" s="63"/>
      <c r="N182" s="63"/>
      <c r="O182" s="63"/>
      <c r="P182" s="63"/>
      <c r="Q182" s="63"/>
      <c r="R182" s="63"/>
      <c r="S182" s="63"/>
      <c r="T182" s="63"/>
    </row>
    <row r="183" spans="1:20" ht="25.5">
      <c r="A183" s="510"/>
      <c r="B183" s="154" t="s">
        <v>1093</v>
      </c>
      <c r="C183" s="165" t="s">
        <v>394</v>
      </c>
      <c r="D183" s="366" t="s">
        <v>1096</v>
      </c>
      <c r="E183" s="168" t="s">
        <v>806</v>
      </c>
      <c r="F183" s="170">
        <v>90</v>
      </c>
      <c r="G183" s="156">
        <f>1.1138*6.12</f>
        <v>6.8164559999999996</v>
      </c>
      <c r="H183" s="156">
        <f>ROUND(G183*1.2685,2)</f>
        <v>8.65</v>
      </c>
      <c r="I183" s="156">
        <f>ROUND(F183*H183,2)</f>
        <v>778.5</v>
      </c>
      <c r="K183" s="63"/>
      <c r="L183" s="63"/>
      <c r="M183" s="63"/>
      <c r="N183" s="63"/>
      <c r="O183" s="63"/>
      <c r="P183" s="63"/>
      <c r="Q183" s="63"/>
      <c r="R183" s="63"/>
      <c r="S183" s="63"/>
      <c r="T183" s="63"/>
    </row>
    <row r="184" spans="1:20" ht="25.5">
      <c r="A184" s="510"/>
      <c r="B184" s="154" t="s">
        <v>513</v>
      </c>
      <c r="C184" s="165" t="s">
        <v>861</v>
      </c>
      <c r="D184" s="366" t="s">
        <v>1147</v>
      </c>
      <c r="E184" s="168" t="s">
        <v>806</v>
      </c>
      <c r="F184" s="170">
        <v>13</v>
      </c>
      <c r="G184" s="158">
        <f>11.27</f>
        <v>11.27</v>
      </c>
      <c r="H184" s="156">
        <f t="shared" si="12"/>
        <v>14.3</v>
      </c>
      <c r="I184" s="156">
        <f t="shared" si="13"/>
        <v>185.9</v>
      </c>
      <c r="K184" s="63"/>
      <c r="L184" s="63"/>
      <c r="M184" s="63"/>
      <c r="N184" s="63"/>
      <c r="O184" s="63"/>
      <c r="P184" s="63"/>
      <c r="Q184" s="63"/>
      <c r="R184" s="63"/>
      <c r="S184" s="63"/>
      <c r="T184" s="63"/>
    </row>
    <row r="185" spans="1:20" ht="25.5">
      <c r="A185" s="510"/>
      <c r="B185" s="154" t="s">
        <v>514</v>
      </c>
      <c r="C185" s="165" t="s">
        <v>861</v>
      </c>
      <c r="D185" s="366" t="s">
        <v>1146</v>
      </c>
      <c r="E185" s="168" t="s">
        <v>806</v>
      </c>
      <c r="F185" s="170">
        <v>25</v>
      </c>
      <c r="G185" s="158">
        <f>20.5*1.1</f>
        <v>22.55</v>
      </c>
      <c r="H185" s="156">
        <f t="shared" si="12"/>
        <v>28.6</v>
      </c>
      <c r="I185" s="156">
        <f>ROUND(F185*H185,2)</f>
        <v>715</v>
      </c>
      <c r="K185" s="63"/>
      <c r="L185" s="63"/>
      <c r="M185" s="63"/>
      <c r="N185" s="63"/>
      <c r="O185" s="63"/>
      <c r="P185" s="63"/>
      <c r="Q185" s="63"/>
      <c r="R185" s="63"/>
      <c r="S185" s="63"/>
      <c r="T185" s="63"/>
    </row>
    <row r="186" spans="1:20" ht="25.5">
      <c r="A186" s="510"/>
      <c r="B186" s="154" t="s">
        <v>515</v>
      </c>
      <c r="C186" s="165" t="s">
        <v>861</v>
      </c>
      <c r="D186" s="366" t="s">
        <v>1145</v>
      </c>
      <c r="E186" s="168" t="s">
        <v>806</v>
      </c>
      <c r="F186" s="170">
        <v>50</v>
      </c>
      <c r="G186" s="158">
        <f>20.73*1.1</f>
        <v>22.803000000000001</v>
      </c>
      <c r="H186" s="156">
        <f t="shared" si="12"/>
        <v>28.93</v>
      </c>
      <c r="I186" s="156">
        <f t="shared" si="13"/>
        <v>1446.5</v>
      </c>
      <c r="K186" s="63"/>
      <c r="L186" s="63"/>
      <c r="M186" s="63"/>
      <c r="N186" s="63"/>
      <c r="O186" s="63"/>
      <c r="P186" s="63"/>
      <c r="Q186" s="63"/>
      <c r="R186" s="63"/>
      <c r="S186" s="63"/>
      <c r="T186" s="63"/>
    </row>
    <row r="187" spans="1:20" ht="25.5">
      <c r="A187" s="510"/>
      <c r="B187" s="154" t="s">
        <v>516</v>
      </c>
      <c r="C187" s="165" t="s">
        <v>967</v>
      </c>
      <c r="D187" s="366" t="s">
        <v>1097</v>
      </c>
      <c r="E187" s="168" t="s">
        <v>806</v>
      </c>
      <c r="F187" s="170">
        <v>6</v>
      </c>
      <c r="G187" s="156">
        <v>25.18</v>
      </c>
      <c r="H187" s="156">
        <f t="shared" si="12"/>
        <v>31.94</v>
      </c>
      <c r="I187" s="156">
        <f t="shared" si="13"/>
        <v>191.64</v>
      </c>
      <c r="K187" s="63"/>
      <c r="L187" s="63"/>
      <c r="M187" s="63"/>
      <c r="N187" s="63"/>
      <c r="O187" s="63"/>
      <c r="P187" s="63"/>
      <c r="Q187" s="63"/>
      <c r="R187" s="63"/>
      <c r="S187" s="63"/>
      <c r="T187" s="63"/>
    </row>
    <row r="188" spans="1:20" ht="25.5">
      <c r="A188" s="510"/>
      <c r="B188" s="154" t="s">
        <v>517</v>
      </c>
      <c r="C188" s="165" t="s">
        <v>968</v>
      </c>
      <c r="D188" s="366" t="s">
        <v>1098</v>
      </c>
      <c r="E188" s="161" t="s">
        <v>808</v>
      </c>
      <c r="F188" s="170">
        <v>70</v>
      </c>
      <c r="G188" s="156">
        <v>1.61</v>
      </c>
      <c r="H188" s="156">
        <f t="shared" si="12"/>
        <v>2.04</v>
      </c>
      <c r="I188" s="156">
        <f t="shared" si="13"/>
        <v>142.80000000000001</v>
      </c>
      <c r="K188" s="63"/>
      <c r="L188" s="63"/>
      <c r="M188" s="63"/>
      <c r="N188" s="63"/>
      <c r="O188" s="63"/>
      <c r="P188" s="63"/>
      <c r="Q188" s="63"/>
      <c r="R188" s="63"/>
      <c r="S188" s="63"/>
      <c r="T188" s="63"/>
    </row>
    <row r="189" spans="1:20" ht="25.5">
      <c r="A189" s="510"/>
      <c r="B189" s="154" t="s">
        <v>518</v>
      </c>
      <c r="C189" s="165" t="s">
        <v>969</v>
      </c>
      <c r="D189" s="366" t="s">
        <v>1099</v>
      </c>
      <c r="E189" s="161" t="s">
        <v>808</v>
      </c>
      <c r="F189" s="170">
        <v>40</v>
      </c>
      <c r="G189" s="156">
        <v>2.41</v>
      </c>
      <c r="H189" s="156">
        <f t="shared" si="12"/>
        <v>3.06</v>
      </c>
      <c r="I189" s="156">
        <f t="shared" ref="I189:I195" si="14">ROUND(F189*H189,2)</f>
        <v>122.4</v>
      </c>
      <c r="K189" s="63"/>
      <c r="L189" s="63"/>
      <c r="M189" s="63"/>
      <c r="N189" s="63"/>
      <c r="O189" s="63"/>
      <c r="P189" s="63"/>
      <c r="Q189" s="63"/>
      <c r="R189" s="63"/>
      <c r="S189" s="63"/>
      <c r="T189" s="63"/>
    </row>
    <row r="190" spans="1:20" ht="25.5">
      <c r="A190" s="510"/>
      <c r="B190" s="154" t="s">
        <v>519</v>
      </c>
      <c r="C190" s="165" t="s">
        <v>970</v>
      </c>
      <c r="D190" s="366" t="s">
        <v>983</v>
      </c>
      <c r="E190" s="168" t="s">
        <v>806</v>
      </c>
      <c r="F190" s="170">
        <v>1</v>
      </c>
      <c r="G190" s="156">
        <v>121.71</v>
      </c>
      <c r="H190" s="156">
        <f t="shared" si="12"/>
        <v>154.38999999999999</v>
      </c>
      <c r="I190" s="156">
        <f t="shared" si="14"/>
        <v>154.38999999999999</v>
      </c>
      <c r="K190" s="63"/>
      <c r="L190" s="63"/>
      <c r="M190" s="63"/>
      <c r="N190" s="63"/>
      <c r="O190" s="63"/>
      <c r="P190" s="63"/>
      <c r="Q190" s="63"/>
      <c r="R190" s="63"/>
      <c r="S190" s="63"/>
      <c r="T190" s="63"/>
    </row>
    <row r="191" spans="1:20" ht="25.5">
      <c r="A191" s="510"/>
      <c r="B191" s="154" t="s">
        <v>520</v>
      </c>
      <c r="C191" s="165" t="s">
        <v>971</v>
      </c>
      <c r="D191" s="366" t="s">
        <v>1144</v>
      </c>
      <c r="E191" s="161" t="s">
        <v>808</v>
      </c>
      <c r="F191" s="170">
        <v>2600</v>
      </c>
      <c r="G191" s="156">
        <v>2.57</v>
      </c>
      <c r="H191" s="156">
        <f>ROUND(G191*1.2685,2)</f>
        <v>3.26</v>
      </c>
      <c r="I191" s="156">
        <f t="shared" si="14"/>
        <v>8476</v>
      </c>
      <c r="K191" s="63"/>
      <c r="L191" s="63"/>
      <c r="M191" s="63"/>
      <c r="N191" s="63"/>
      <c r="O191" s="63"/>
      <c r="P191" s="63"/>
      <c r="Q191" s="63"/>
      <c r="R191" s="63"/>
      <c r="S191" s="63"/>
      <c r="T191" s="63"/>
    </row>
    <row r="192" spans="1:20" ht="25.5">
      <c r="A192" s="510"/>
      <c r="B192" s="154" t="s">
        <v>521</v>
      </c>
      <c r="C192" s="165" t="s">
        <v>972</v>
      </c>
      <c r="D192" s="366" t="s">
        <v>1143</v>
      </c>
      <c r="E192" s="161" t="s">
        <v>808</v>
      </c>
      <c r="F192" s="170">
        <v>450</v>
      </c>
      <c r="G192" s="156">
        <v>8.9700000000000006</v>
      </c>
      <c r="H192" s="156">
        <f>ROUND(G192*1.2685,2)</f>
        <v>11.38</v>
      </c>
      <c r="I192" s="156">
        <f t="shared" si="14"/>
        <v>5121</v>
      </c>
      <c r="K192" s="63"/>
      <c r="L192" s="63"/>
      <c r="M192" s="63"/>
      <c r="N192" s="63"/>
      <c r="O192" s="63"/>
      <c r="P192" s="63"/>
      <c r="Q192" s="63"/>
      <c r="R192" s="63"/>
      <c r="S192" s="63"/>
      <c r="T192" s="63"/>
    </row>
    <row r="193" spans="1:20" s="258" customFormat="1" ht="25.5">
      <c r="A193" s="510"/>
      <c r="B193" s="154" t="s">
        <v>522</v>
      </c>
      <c r="C193" s="165" t="s">
        <v>973</v>
      </c>
      <c r="D193" s="366" t="s">
        <v>1142</v>
      </c>
      <c r="E193" s="161" t="s">
        <v>808</v>
      </c>
      <c r="F193" s="170">
        <v>250</v>
      </c>
      <c r="G193" s="156">
        <v>12.96</v>
      </c>
      <c r="H193" s="156">
        <f>ROUND(G193*1.2685,2)</f>
        <v>16.440000000000001</v>
      </c>
      <c r="I193" s="156">
        <f t="shared" si="14"/>
        <v>4110</v>
      </c>
      <c r="K193" s="244"/>
      <c r="L193" s="244"/>
      <c r="M193" s="244"/>
      <c r="N193" s="244"/>
      <c r="O193" s="244"/>
      <c r="P193" s="244"/>
      <c r="Q193" s="244"/>
      <c r="R193" s="244"/>
      <c r="S193" s="244"/>
      <c r="T193" s="244"/>
    </row>
    <row r="194" spans="1:20" ht="25.5">
      <c r="A194" s="510"/>
      <c r="B194" s="154" t="s">
        <v>523</v>
      </c>
      <c r="C194" s="165" t="s">
        <v>974</v>
      </c>
      <c r="D194" s="366" t="s">
        <v>1141</v>
      </c>
      <c r="E194" s="161" t="s">
        <v>808</v>
      </c>
      <c r="F194" s="170">
        <v>120</v>
      </c>
      <c r="G194" s="156">
        <v>18.61</v>
      </c>
      <c r="H194" s="156">
        <f t="shared" si="12"/>
        <v>23.61</v>
      </c>
      <c r="I194" s="156">
        <f t="shared" si="14"/>
        <v>2833.2</v>
      </c>
      <c r="K194" s="136"/>
      <c r="L194" s="63"/>
      <c r="M194" s="63"/>
      <c r="N194" s="63"/>
      <c r="O194" s="63"/>
      <c r="P194" s="63"/>
      <c r="Q194" s="63"/>
      <c r="R194" s="63"/>
      <c r="S194" s="63"/>
      <c r="T194" s="63"/>
    </row>
    <row r="195" spans="1:20" ht="25.5">
      <c r="A195" s="510"/>
      <c r="B195" s="154" t="s">
        <v>524</v>
      </c>
      <c r="C195" s="165" t="s">
        <v>975</v>
      </c>
      <c r="D195" s="366" t="s">
        <v>987</v>
      </c>
      <c r="E195" s="168" t="s">
        <v>806</v>
      </c>
      <c r="F195" s="170">
        <v>56.24</v>
      </c>
      <c r="G195" s="156">
        <v>1</v>
      </c>
      <c r="H195" s="156">
        <f t="shared" si="12"/>
        <v>1.27</v>
      </c>
      <c r="I195" s="156">
        <f t="shared" si="14"/>
        <v>71.42</v>
      </c>
      <c r="K195" s="63"/>
      <c r="L195" s="63"/>
      <c r="M195" s="63"/>
      <c r="N195" s="63"/>
      <c r="O195" s="63"/>
      <c r="P195" s="63"/>
      <c r="Q195" s="63"/>
      <c r="R195" s="63"/>
      <c r="S195" s="63"/>
      <c r="T195" s="63"/>
    </row>
    <row r="196" spans="1:20" ht="25.5">
      <c r="A196" s="510"/>
      <c r="B196" s="154" t="s">
        <v>525</v>
      </c>
      <c r="C196" s="165" t="s">
        <v>861</v>
      </c>
      <c r="D196" s="366" t="s">
        <v>988</v>
      </c>
      <c r="E196" s="168" t="s">
        <v>806</v>
      </c>
      <c r="F196" s="170">
        <v>2</v>
      </c>
      <c r="G196" s="156">
        <f>125.55*1.1</f>
        <v>138.10500000000002</v>
      </c>
      <c r="H196" s="156">
        <f t="shared" si="12"/>
        <v>175.19</v>
      </c>
      <c r="I196" s="156">
        <f t="shared" si="13"/>
        <v>350.38</v>
      </c>
      <c r="K196" s="63"/>
      <c r="L196" s="63"/>
      <c r="M196" s="63"/>
      <c r="N196" s="63"/>
      <c r="O196" s="63"/>
      <c r="P196" s="63"/>
      <c r="Q196" s="63"/>
      <c r="R196" s="63"/>
      <c r="S196" s="63"/>
      <c r="T196" s="63"/>
    </row>
    <row r="197" spans="1:20" ht="25.5">
      <c r="A197" s="510"/>
      <c r="B197" s="154" t="s">
        <v>526</v>
      </c>
      <c r="C197" s="165" t="s">
        <v>861</v>
      </c>
      <c r="D197" s="366" t="s">
        <v>989</v>
      </c>
      <c r="E197" s="168" t="s">
        <v>806</v>
      </c>
      <c r="F197" s="170">
        <v>1</v>
      </c>
      <c r="G197" s="156">
        <v>143.25</v>
      </c>
      <c r="H197" s="156">
        <f>ROUND(G197*1.2685,2)</f>
        <v>181.71</v>
      </c>
      <c r="I197" s="156">
        <f>ROUND(F197*H197,2)</f>
        <v>181.71</v>
      </c>
      <c r="K197" s="63"/>
      <c r="L197" s="63"/>
      <c r="M197" s="63"/>
      <c r="N197" s="63"/>
      <c r="O197" s="63"/>
      <c r="P197" s="63"/>
      <c r="Q197" s="63"/>
      <c r="R197" s="63"/>
      <c r="S197" s="63"/>
      <c r="T197" s="63"/>
    </row>
    <row r="198" spans="1:20" ht="25.5">
      <c r="A198" s="510"/>
      <c r="B198" s="154" t="s">
        <v>527</v>
      </c>
      <c r="C198" s="165" t="s">
        <v>861</v>
      </c>
      <c r="D198" s="366" t="s">
        <v>990</v>
      </c>
      <c r="E198" s="168" t="s">
        <v>806</v>
      </c>
      <c r="F198" s="170">
        <f>40*2+2</f>
        <v>82</v>
      </c>
      <c r="G198" s="156">
        <v>52.75</v>
      </c>
      <c r="H198" s="156">
        <f t="shared" si="12"/>
        <v>66.91</v>
      </c>
      <c r="I198" s="156">
        <f t="shared" si="13"/>
        <v>5486.62</v>
      </c>
      <c r="K198" s="63"/>
      <c r="L198" s="63"/>
      <c r="M198" s="63"/>
      <c r="N198" s="63"/>
      <c r="O198" s="63"/>
      <c r="P198" s="63"/>
      <c r="Q198" s="63"/>
      <c r="R198" s="63"/>
      <c r="S198" s="63"/>
      <c r="T198" s="63"/>
    </row>
    <row r="199" spans="1:20" ht="25.5">
      <c r="A199" s="510"/>
      <c r="B199" s="154" t="s">
        <v>528</v>
      </c>
      <c r="C199" s="165" t="s">
        <v>861</v>
      </c>
      <c r="D199" s="366" t="s">
        <v>991</v>
      </c>
      <c r="E199" s="168" t="s">
        <v>806</v>
      </c>
      <c r="F199" s="170">
        <f>2*31</f>
        <v>62</v>
      </c>
      <c r="G199" s="156">
        <v>65.23</v>
      </c>
      <c r="H199" s="156">
        <f t="shared" si="12"/>
        <v>82.74</v>
      </c>
      <c r="I199" s="156">
        <f>ROUND(F199*H199,2)</f>
        <v>5129.88</v>
      </c>
      <c r="K199" s="63"/>
      <c r="L199" s="63"/>
      <c r="M199" s="63"/>
      <c r="N199" s="63"/>
      <c r="O199" s="63"/>
      <c r="P199" s="63"/>
      <c r="Q199" s="63"/>
      <c r="R199" s="63"/>
      <c r="S199" s="63"/>
      <c r="T199" s="63"/>
    </row>
    <row r="200" spans="1:20" ht="25.5">
      <c r="A200" s="510"/>
      <c r="B200" s="154" t="s">
        <v>529</v>
      </c>
      <c r="C200" s="165" t="s">
        <v>861</v>
      </c>
      <c r="D200" s="366" t="s">
        <v>992</v>
      </c>
      <c r="E200" s="168" t="s">
        <v>806</v>
      </c>
      <c r="F200" s="170">
        <v>11</v>
      </c>
      <c r="G200" s="156">
        <v>215.32</v>
      </c>
      <c r="H200" s="156">
        <f t="shared" si="12"/>
        <v>273.13</v>
      </c>
      <c r="I200" s="156">
        <f t="shared" si="13"/>
        <v>3004.43</v>
      </c>
      <c r="K200" s="63"/>
      <c r="L200" s="63"/>
      <c r="M200" s="63"/>
      <c r="N200" s="63"/>
      <c r="O200" s="63"/>
      <c r="P200" s="63"/>
      <c r="Q200" s="63"/>
      <c r="R200" s="63"/>
      <c r="S200" s="63"/>
      <c r="T200" s="63"/>
    </row>
    <row r="201" spans="1:20" ht="38.25">
      <c r="A201" s="510"/>
      <c r="B201" s="154" t="s">
        <v>530</v>
      </c>
      <c r="C201" s="165" t="s">
        <v>976</v>
      </c>
      <c r="D201" s="366" t="s">
        <v>832</v>
      </c>
      <c r="E201" s="168" t="s">
        <v>806</v>
      </c>
      <c r="F201" s="170">
        <v>1</v>
      </c>
      <c r="G201" s="156">
        <v>1004.63</v>
      </c>
      <c r="H201" s="156">
        <f t="shared" si="12"/>
        <v>1274.3699999999999</v>
      </c>
      <c r="I201" s="156">
        <f t="shared" si="13"/>
        <v>1274.3699999999999</v>
      </c>
      <c r="K201" s="63"/>
      <c r="L201" s="63"/>
      <c r="M201" s="63"/>
      <c r="N201" s="63"/>
      <c r="O201" s="63"/>
      <c r="P201" s="63"/>
      <c r="Q201" s="63"/>
      <c r="R201" s="63"/>
      <c r="S201" s="63"/>
      <c r="T201" s="63"/>
    </row>
    <row r="202" spans="1:20" ht="25.5">
      <c r="A202" s="510"/>
      <c r="B202" s="154" t="s">
        <v>531</v>
      </c>
      <c r="C202" s="161" t="s">
        <v>977</v>
      </c>
      <c r="D202" s="366" t="s">
        <v>993</v>
      </c>
      <c r="E202" s="168" t="s">
        <v>806</v>
      </c>
      <c r="F202" s="170">
        <v>11</v>
      </c>
      <c r="G202" s="156">
        <v>12.81</v>
      </c>
      <c r="H202" s="156">
        <f t="shared" si="12"/>
        <v>16.25</v>
      </c>
      <c r="I202" s="156">
        <f t="shared" si="13"/>
        <v>178.75</v>
      </c>
      <c r="K202" s="63"/>
      <c r="L202" s="63"/>
      <c r="M202" s="63"/>
      <c r="N202" s="63"/>
      <c r="O202" s="63"/>
      <c r="P202" s="63"/>
      <c r="Q202" s="63"/>
      <c r="R202" s="63"/>
      <c r="S202" s="63"/>
      <c r="T202" s="63"/>
    </row>
    <row r="203" spans="1:20" ht="25.5">
      <c r="A203" s="510"/>
      <c r="B203" s="154" t="s">
        <v>532</v>
      </c>
      <c r="C203" s="161" t="s">
        <v>978</v>
      </c>
      <c r="D203" s="366" t="s">
        <v>994</v>
      </c>
      <c r="E203" s="168" t="s">
        <v>806</v>
      </c>
      <c r="F203" s="170">
        <v>6</v>
      </c>
      <c r="G203" s="156">
        <v>13.41</v>
      </c>
      <c r="H203" s="156">
        <f t="shared" si="12"/>
        <v>17.010000000000002</v>
      </c>
      <c r="I203" s="156">
        <f t="shared" si="13"/>
        <v>102.06</v>
      </c>
      <c r="K203" s="134"/>
      <c r="L203" s="134"/>
      <c r="M203" s="134"/>
      <c r="N203" s="134"/>
      <c r="O203" s="134"/>
      <c r="P203" s="134"/>
      <c r="Q203" s="134"/>
      <c r="R203" s="134"/>
      <c r="S203" s="134"/>
      <c r="T203" s="134"/>
    </row>
    <row r="204" spans="1:20" ht="25.5">
      <c r="A204" s="510"/>
      <c r="B204" s="154" t="s">
        <v>533</v>
      </c>
      <c r="C204" s="161" t="s">
        <v>979</v>
      </c>
      <c r="D204" s="366" t="s">
        <v>995</v>
      </c>
      <c r="E204" s="168" t="s">
        <v>806</v>
      </c>
      <c r="F204" s="158">
        <v>5</v>
      </c>
      <c r="G204" s="156">
        <v>90.34</v>
      </c>
      <c r="H204" s="156">
        <f t="shared" si="12"/>
        <v>114.6</v>
      </c>
      <c r="I204" s="156">
        <f t="shared" si="13"/>
        <v>573</v>
      </c>
      <c r="K204" s="63"/>
      <c r="L204" s="63"/>
      <c r="M204" s="63"/>
      <c r="N204" s="63"/>
      <c r="O204" s="63"/>
      <c r="P204" s="63"/>
      <c r="Q204" s="63"/>
      <c r="R204" s="63"/>
      <c r="S204" s="63"/>
      <c r="T204" s="63"/>
    </row>
    <row r="205" spans="1:20" ht="25.5">
      <c r="A205" s="510"/>
      <c r="B205" s="154" t="s">
        <v>534</v>
      </c>
      <c r="C205" s="161" t="s">
        <v>980</v>
      </c>
      <c r="D205" s="366" t="s">
        <v>996</v>
      </c>
      <c r="E205" s="168" t="s">
        <v>806</v>
      </c>
      <c r="F205" s="158">
        <v>2</v>
      </c>
      <c r="G205" s="156">
        <v>22.9</v>
      </c>
      <c r="H205" s="156">
        <f t="shared" si="12"/>
        <v>29.05</v>
      </c>
      <c r="I205" s="156">
        <f t="shared" si="13"/>
        <v>58.1</v>
      </c>
      <c r="K205" s="63"/>
      <c r="L205" s="63"/>
      <c r="M205" s="63"/>
      <c r="N205" s="63"/>
      <c r="O205" s="63"/>
      <c r="P205" s="63"/>
      <c r="Q205" s="63"/>
      <c r="R205" s="63"/>
      <c r="S205" s="63"/>
      <c r="T205" s="63"/>
    </row>
    <row r="206" spans="1:20" ht="25.5">
      <c r="A206" s="510"/>
      <c r="B206" s="154" t="s">
        <v>535</v>
      </c>
      <c r="C206" s="161" t="s">
        <v>981</v>
      </c>
      <c r="D206" s="366" t="s">
        <v>997</v>
      </c>
      <c r="E206" s="168" t="s">
        <v>806</v>
      </c>
      <c r="F206" s="158">
        <v>2</v>
      </c>
      <c r="G206" s="156">
        <v>25.49</v>
      </c>
      <c r="H206" s="156">
        <f t="shared" si="12"/>
        <v>32.33</v>
      </c>
      <c r="I206" s="156">
        <f t="shared" si="13"/>
        <v>64.66</v>
      </c>
      <c r="K206" s="63"/>
      <c r="L206" s="63"/>
      <c r="M206" s="63"/>
      <c r="N206" s="63"/>
      <c r="O206" s="63"/>
      <c r="P206" s="63"/>
      <c r="Q206" s="63"/>
      <c r="R206" s="63"/>
      <c r="S206" s="63"/>
      <c r="T206" s="63"/>
    </row>
    <row r="207" spans="1:20" ht="25.5">
      <c r="A207" s="510"/>
      <c r="B207" s="154" t="s">
        <v>536</v>
      </c>
      <c r="C207" s="161" t="s">
        <v>998</v>
      </c>
      <c r="D207" s="366" t="s">
        <v>1255</v>
      </c>
      <c r="E207" s="168" t="s">
        <v>806</v>
      </c>
      <c r="F207" s="158">
        <v>1</v>
      </c>
      <c r="G207" s="156">
        <f>444.84*1.0589</f>
        <v>471.04107599999998</v>
      </c>
      <c r="H207" s="156">
        <f t="shared" si="12"/>
        <v>597.52</v>
      </c>
      <c r="I207" s="156">
        <f t="shared" si="13"/>
        <v>597.52</v>
      </c>
      <c r="K207" s="63"/>
      <c r="L207" s="63"/>
      <c r="M207" s="63"/>
      <c r="N207" s="63"/>
      <c r="O207" s="63"/>
      <c r="P207" s="63"/>
      <c r="Q207" s="63"/>
      <c r="R207" s="63"/>
      <c r="S207" s="63"/>
      <c r="T207" s="63"/>
    </row>
    <row r="208" spans="1:20" ht="25.5">
      <c r="A208" s="510"/>
      <c r="B208" s="154" t="s">
        <v>537</v>
      </c>
      <c r="C208" s="165" t="s">
        <v>861</v>
      </c>
      <c r="D208" s="366" t="s">
        <v>1100</v>
      </c>
      <c r="E208" s="168" t="s">
        <v>806</v>
      </c>
      <c r="F208" s="158">
        <v>1</v>
      </c>
      <c r="G208" s="156">
        <v>180</v>
      </c>
      <c r="H208" s="156">
        <f t="shared" si="12"/>
        <v>228.33</v>
      </c>
      <c r="I208" s="156">
        <f t="shared" si="13"/>
        <v>228.33</v>
      </c>
      <c r="K208" s="63"/>
      <c r="L208" s="63"/>
      <c r="M208" s="63"/>
      <c r="N208" s="63"/>
      <c r="O208" s="63"/>
      <c r="P208" s="63"/>
      <c r="Q208" s="63"/>
      <c r="R208" s="63"/>
      <c r="S208" s="63"/>
      <c r="T208" s="63"/>
    </row>
    <row r="209" spans="1:20" s="258" customFormat="1" ht="25.5">
      <c r="A209" s="510"/>
      <c r="B209" s="154" t="s">
        <v>538</v>
      </c>
      <c r="C209" s="165" t="s">
        <v>861</v>
      </c>
      <c r="D209" s="366" t="s">
        <v>999</v>
      </c>
      <c r="E209" s="168" t="s">
        <v>806</v>
      </c>
      <c r="F209" s="158">
        <v>11</v>
      </c>
      <c r="G209" s="156">
        <v>250</v>
      </c>
      <c r="H209" s="156">
        <f t="shared" si="12"/>
        <v>317.13</v>
      </c>
      <c r="I209" s="156">
        <f t="shared" si="13"/>
        <v>3488.43</v>
      </c>
      <c r="K209" s="244"/>
      <c r="L209" s="244"/>
      <c r="M209" s="244"/>
      <c r="N209" s="244"/>
      <c r="O209" s="244"/>
      <c r="P209" s="244"/>
      <c r="Q209" s="244"/>
      <c r="R209" s="244"/>
      <c r="S209" s="244"/>
      <c r="T209" s="244"/>
    </row>
    <row r="210" spans="1:20" s="258" customFormat="1" ht="38.25">
      <c r="A210" s="510"/>
      <c r="B210" s="154" t="s">
        <v>759</v>
      </c>
      <c r="C210" s="165" t="s">
        <v>861</v>
      </c>
      <c r="D210" s="366" t="s">
        <v>1000</v>
      </c>
      <c r="E210" s="168" t="s">
        <v>806</v>
      </c>
      <c r="F210" s="158">
        <v>1</v>
      </c>
      <c r="G210" s="156">
        <v>4250</v>
      </c>
      <c r="H210" s="156">
        <f t="shared" si="12"/>
        <v>5391.13</v>
      </c>
      <c r="I210" s="156">
        <f t="shared" si="13"/>
        <v>5391.13</v>
      </c>
      <c r="K210" s="244"/>
      <c r="L210" s="244"/>
      <c r="M210" s="244"/>
      <c r="N210" s="244"/>
      <c r="O210" s="244"/>
      <c r="P210" s="244"/>
      <c r="Q210" s="244"/>
      <c r="R210" s="244"/>
      <c r="S210" s="244"/>
      <c r="T210" s="244"/>
    </row>
    <row r="211" spans="1:20" ht="102">
      <c r="A211" s="510"/>
      <c r="B211" s="154" t="s">
        <v>625</v>
      </c>
      <c r="C211" s="165" t="s">
        <v>982</v>
      </c>
      <c r="D211" s="366" t="s">
        <v>1001</v>
      </c>
      <c r="E211" s="160" t="s">
        <v>805</v>
      </c>
      <c r="F211" s="158">
        <v>542.04999999999995</v>
      </c>
      <c r="G211" s="156">
        <f>4.5*1.0589</f>
        <v>4.7650499999999996</v>
      </c>
      <c r="H211" s="156">
        <f t="shared" si="12"/>
        <v>6.04</v>
      </c>
      <c r="I211" s="156">
        <f t="shared" si="13"/>
        <v>3273.98</v>
      </c>
      <c r="K211" s="63"/>
      <c r="L211" s="63"/>
      <c r="M211" s="63"/>
      <c r="N211" s="63"/>
      <c r="O211" s="63"/>
      <c r="P211" s="63"/>
      <c r="Q211" s="63"/>
      <c r="R211" s="63"/>
      <c r="S211" s="63"/>
      <c r="T211" s="63"/>
    </row>
    <row r="212" spans="1:20" ht="63.75">
      <c r="A212" s="510"/>
      <c r="B212" s="320" t="s">
        <v>1108</v>
      </c>
      <c r="C212" s="388" t="s">
        <v>861</v>
      </c>
      <c r="D212" s="367" t="s">
        <v>1140</v>
      </c>
      <c r="E212" s="385" t="s">
        <v>806</v>
      </c>
      <c r="F212" s="347">
        <v>12</v>
      </c>
      <c r="G212" s="337">
        <v>2150</v>
      </c>
      <c r="H212" s="323">
        <f t="shared" si="12"/>
        <v>2727.28</v>
      </c>
      <c r="I212" s="323">
        <f t="shared" si="13"/>
        <v>32727.360000000001</v>
      </c>
      <c r="K212" s="63"/>
      <c r="L212" s="63"/>
      <c r="M212" s="63"/>
      <c r="N212" s="63"/>
      <c r="O212" s="63"/>
      <c r="P212" s="63"/>
      <c r="Q212" s="63"/>
      <c r="R212" s="63"/>
      <c r="S212" s="63"/>
      <c r="T212" s="63"/>
    </row>
    <row r="213" spans="1:20" s="260" customFormat="1">
      <c r="A213" s="510"/>
      <c r="B213" s="518" t="s">
        <v>83</v>
      </c>
      <c r="C213" s="159"/>
      <c r="D213" s="146" t="s">
        <v>67</v>
      </c>
      <c r="E213" s="146"/>
      <c r="F213" s="146"/>
      <c r="G213" s="146"/>
      <c r="H213" s="146"/>
      <c r="I213" s="499">
        <f>SUM(I214:I222)</f>
        <v>112424.75999999998</v>
      </c>
      <c r="K213" s="244"/>
      <c r="L213" s="244"/>
      <c r="M213" s="244"/>
      <c r="N213" s="244"/>
      <c r="O213" s="244"/>
      <c r="P213" s="244"/>
      <c r="Q213" s="244"/>
      <c r="R213" s="244"/>
      <c r="S213" s="244"/>
      <c r="T213" s="244"/>
    </row>
    <row r="214" spans="1:20" s="286" customFormat="1" ht="89.25">
      <c r="A214" s="510"/>
      <c r="B214" s="315" t="s">
        <v>85</v>
      </c>
      <c r="C214" s="395" t="s">
        <v>861</v>
      </c>
      <c r="D214" s="365" t="s">
        <v>1101</v>
      </c>
      <c r="E214" s="326" t="s">
        <v>805</v>
      </c>
      <c r="F214" s="349">
        <v>193.98</v>
      </c>
      <c r="G214" s="319">
        <f>29.33*1.1</f>
        <v>32.262999999999998</v>
      </c>
      <c r="H214" s="319">
        <f t="shared" ref="H214:H222" si="15">ROUND(G214*1.2685,2)</f>
        <v>40.93</v>
      </c>
      <c r="I214" s="329">
        <f t="shared" ref="I214:I222" si="16">ROUND(F214*H214,2)</f>
        <v>7939.6</v>
      </c>
      <c r="K214" s="244"/>
      <c r="L214" s="244"/>
      <c r="M214" s="244"/>
      <c r="N214" s="244"/>
      <c r="O214" s="244"/>
      <c r="P214" s="244"/>
      <c r="Q214" s="244"/>
      <c r="R214" s="244"/>
      <c r="S214" s="244"/>
      <c r="T214" s="244"/>
    </row>
    <row r="215" spans="1:20" ht="89.25">
      <c r="A215" s="510"/>
      <c r="B215" s="154" t="s">
        <v>86</v>
      </c>
      <c r="C215" s="165" t="s">
        <v>861</v>
      </c>
      <c r="D215" s="366" t="s">
        <v>1102</v>
      </c>
      <c r="E215" s="160" t="s">
        <v>805</v>
      </c>
      <c r="F215" s="158">
        <v>58.05</v>
      </c>
      <c r="G215" s="156">
        <f t="shared" ref="G215:G216" si="17">29.33*1.1</f>
        <v>32.262999999999998</v>
      </c>
      <c r="H215" s="156">
        <f t="shared" si="15"/>
        <v>40.93</v>
      </c>
      <c r="I215" s="166">
        <f t="shared" si="16"/>
        <v>2375.9899999999998</v>
      </c>
      <c r="K215" s="63"/>
      <c r="L215" s="63"/>
      <c r="M215" s="63"/>
      <c r="N215" s="63"/>
      <c r="O215" s="63"/>
      <c r="P215" s="63"/>
      <c r="Q215" s="63"/>
      <c r="R215" s="63"/>
      <c r="S215" s="63"/>
      <c r="T215" s="63"/>
    </row>
    <row r="216" spans="1:20" ht="89.25">
      <c r="A216" s="510"/>
      <c r="B216" s="154" t="s">
        <v>433</v>
      </c>
      <c r="C216" s="165" t="s">
        <v>861</v>
      </c>
      <c r="D216" s="366" t="s">
        <v>1139</v>
      </c>
      <c r="E216" s="160" t="s">
        <v>805</v>
      </c>
      <c r="F216" s="158">
        <v>19.2</v>
      </c>
      <c r="G216" s="156">
        <f t="shared" si="17"/>
        <v>32.262999999999998</v>
      </c>
      <c r="H216" s="156">
        <f t="shared" si="15"/>
        <v>40.93</v>
      </c>
      <c r="I216" s="166">
        <f t="shared" si="16"/>
        <v>785.86</v>
      </c>
      <c r="K216" s="63"/>
      <c r="L216" s="63"/>
      <c r="M216" s="63"/>
      <c r="N216" s="63"/>
      <c r="O216" s="63"/>
      <c r="P216" s="63"/>
      <c r="Q216" s="63"/>
      <c r="R216" s="63"/>
      <c r="S216" s="63"/>
      <c r="T216" s="63"/>
    </row>
    <row r="217" spans="1:20" s="290" customFormat="1" ht="127.5">
      <c r="A217" s="511"/>
      <c r="B217" s="154" t="s">
        <v>434</v>
      </c>
      <c r="C217" s="165">
        <v>72111</v>
      </c>
      <c r="D217" s="366" t="s">
        <v>1002</v>
      </c>
      <c r="E217" s="160" t="s">
        <v>805</v>
      </c>
      <c r="F217" s="158">
        <v>345.84</v>
      </c>
      <c r="G217" s="156">
        <v>71.319999999999993</v>
      </c>
      <c r="H217" s="156">
        <f t="shared" si="15"/>
        <v>90.47</v>
      </c>
      <c r="I217" s="166">
        <f t="shared" si="16"/>
        <v>31288.14</v>
      </c>
      <c r="K217" s="291"/>
      <c r="L217" s="291"/>
      <c r="M217" s="291"/>
      <c r="N217" s="291"/>
      <c r="O217" s="291"/>
      <c r="P217" s="291"/>
      <c r="Q217" s="291"/>
      <c r="R217" s="291"/>
      <c r="S217" s="291"/>
      <c r="T217" s="291"/>
    </row>
    <row r="218" spans="1:20" ht="25.5">
      <c r="A218" s="510"/>
      <c r="B218" s="154" t="s">
        <v>435</v>
      </c>
      <c r="C218" s="165" t="s">
        <v>1004</v>
      </c>
      <c r="D218" s="366" t="s">
        <v>1003</v>
      </c>
      <c r="E218" s="160" t="s">
        <v>805</v>
      </c>
      <c r="F218" s="158">
        <f>F214+F215+F216</f>
        <v>271.22999999999996</v>
      </c>
      <c r="G218" s="156">
        <f>57.91*1.1138</f>
        <v>64.500157999999985</v>
      </c>
      <c r="H218" s="156">
        <f t="shared" si="15"/>
        <v>81.819999999999993</v>
      </c>
      <c r="I218" s="166">
        <f t="shared" si="16"/>
        <v>22192.04</v>
      </c>
      <c r="K218" s="63"/>
      <c r="L218" s="63"/>
      <c r="M218" s="63"/>
      <c r="N218" s="63"/>
      <c r="O218" s="63"/>
      <c r="P218" s="63"/>
      <c r="Q218" s="63"/>
      <c r="R218" s="63"/>
      <c r="S218" s="63"/>
      <c r="T218" s="63"/>
    </row>
    <row r="219" spans="1:20" ht="25.5">
      <c r="A219" s="510"/>
      <c r="B219" s="154" t="s">
        <v>767</v>
      </c>
      <c r="C219" s="165" t="s">
        <v>390</v>
      </c>
      <c r="D219" s="366" t="s">
        <v>833</v>
      </c>
      <c r="E219" s="160" t="s">
        <v>805</v>
      </c>
      <c r="F219" s="158">
        <f>(13*1)*4</f>
        <v>52</v>
      </c>
      <c r="G219" s="156">
        <f>71.43*1.1138</f>
        <v>79.558734000000001</v>
      </c>
      <c r="H219" s="156">
        <f t="shared" si="15"/>
        <v>100.92</v>
      </c>
      <c r="I219" s="166">
        <f t="shared" si="16"/>
        <v>5247.84</v>
      </c>
      <c r="K219" s="137"/>
      <c r="L219" s="137"/>
      <c r="M219" s="137"/>
      <c r="N219" s="137"/>
      <c r="O219" s="137"/>
      <c r="P219" s="137"/>
      <c r="Q219" s="137"/>
      <c r="R219" s="137"/>
      <c r="S219" s="137"/>
      <c r="T219" s="137"/>
    </row>
    <row r="220" spans="1:20" s="282" customFormat="1" ht="25.5">
      <c r="A220" s="510"/>
      <c r="B220" s="154" t="s">
        <v>768</v>
      </c>
      <c r="C220" s="165" t="s">
        <v>1005</v>
      </c>
      <c r="D220" s="366" t="s">
        <v>1006</v>
      </c>
      <c r="E220" s="160" t="s">
        <v>805</v>
      </c>
      <c r="F220" s="158">
        <f>(26.4+13.1)*1.4</f>
        <v>55.3</v>
      </c>
      <c r="G220" s="156">
        <f>57.91*1.1138</f>
        <v>64.500157999999985</v>
      </c>
      <c r="H220" s="156">
        <f t="shared" si="15"/>
        <v>81.819999999999993</v>
      </c>
      <c r="I220" s="166">
        <f t="shared" si="16"/>
        <v>4524.6499999999996</v>
      </c>
      <c r="K220" s="244"/>
      <c r="L220" s="244"/>
      <c r="M220" s="244"/>
      <c r="N220" s="244"/>
      <c r="O220" s="244"/>
      <c r="P220" s="244"/>
      <c r="Q220" s="244"/>
      <c r="R220" s="244"/>
      <c r="S220" s="244"/>
      <c r="T220" s="244"/>
    </row>
    <row r="221" spans="1:20" ht="25.5">
      <c r="A221" s="510"/>
      <c r="B221" s="154" t="s">
        <v>539</v>
      </c>
      <c r="C221" s="165" t="s">
        <v>392</v>
      </c>
      <c r="D221" s="366" t="s">
        <v>1125</v>
      </c>
      <c r="E221" s="160" t="s">
        <v>805</v>
      </c>
      <c r="F221" s="158">
        <f>2*4.6</f>
        <v>9.1999999999999993</v>
      </c>
      <c r="G221" s="167">
        <f>51.6*1.1138</f>
        <v>57.472079999999998</v>
      </c>
      <c r="H221" s="156">
        <f t="shared" si="15"/>
        <v>72.900000000000006</v>
      </c>
      <c r="I221" s="166">
        <f t="shared" si="16"/>
        <v>670.68</v>
      </c>
      <c r="K221" s="63"/>
      <c r="L221" s="63"/>
      <c r="M221" s="63"/>
      <c r="N221" s="63"/>
      <c r="O221" s="63"/>
      <c r="P221" s="63"/>
      <c r="Q221" s="63"/>
      <c r="R221" s="63"/>
      <c r="S221" s="63"/>
      <c r="T221" s="63"/>
    </row>
    <row r="222" spans="1:20" ht="38.25">
      <c r="A222" s="510"/>
      <c r="B222" s="532" t="s">
        <v>752</v>
      </c>
      <c r="C222" s="388" t="s">
        <v>766</v>
      </c>
      <c r="D222" s="367" t="s">
        <v>1007</v>
      </c>
      <c r="E222" s="322" t="s">
        <v>805</v>
      </c>
      <c r="F222" s="347">
        <f>F217-F219</f>
        <v>293.83999999999997</v>
      </c>
      <c r="G222" s="339">
        <f>90.09*1.1138</f>
        <v>100.342242</v>
      </c>
      <c r="H222" s="323">
        <f t="shared" si="15"/>
        <v>127.28</v>
      </c>
      <c r="I222" s="340">
        <f t="shared" si="16"/>
        <v>37399.96</v>
      </c>
      <c r="K222" s="63"/>
      <c r="L222" s="63"/>
      <c r="M222" s="63"/>
      <c r="N222" s="63"/>
      <c r="O222" s="63"/>
      <c r="P222" s="63"/>
      <c r="Q222" s="63"/>
      <c r="R222" s="63"/>
      <c r="S222" s="63"/>
      <c r="T222" s="63"/>
    </row>
    <row r="223" spans="1:20" s="181" customFormat="1">
      <c r="A223" s="510"/>
      <c r="B223" s="369" t="s">
        <v>87</v>
      </c>
      <c r="C223" s="342"/>
      <c r="D223" s="343" t="s">
        <v>84</v>
      </c>
      <c r="E223" s="343"/>
      <c r="F223" s="343"/>
      <c r="G223" s="343"/>
      <c r="H223" s="343"/>
      <c r="I223" s="370">
        <f>SUM(I224:I230)</f>
        <v>36290.240000000013</v>
      </c>
      <c r="K223" s="136"/>
      <c r="L223" s="182"/>
      <c r="M223" s="182"/>
      <c r="N223" s="182"/>
      <c r="O223" s="182"/>
      <c r="P223" s="182"/>
      <c r="Q223" s="182"/>
      <c r="R223" s="182"/>
      <c r="S223" s="182"/>
      <c r="T223" s="182"/>
    </row>
    <row r="224" spans="1:20" s="301" customFormat="1" ht="21" customHeight="1">
      <c r="A224" s="510"/>
      <c r="B224" s="315" t="s">
        <v>89</v>
      </c>
      <c r="C224" s="395" t="s">
        <v>1259</v>
      </c>
      <c r="D224" s="365" t="s">
        <v>1258</v>
      </c>
      <c r="E224" s="371" t="s">
        <v>805</v>
      </c>
      <c r="F224" s="377">
        <f>'Quantitativo '!M85-('Quantitativo '!AC74+'Quantitativo '!AJ66+'Quantitativo '!AH80)</f>
        <v>1099.1781000000001</v>
      </c>
      <c r="G224" s="341">
        <f>12.41/1.2784*1.0589</f>
        <v>10.279215425531914</v>
      </c>
      <c r="H224" s="319">
        <f t="shared" ref="H224:H230" si="18">ROUND(G224*1.2685,2)</f>
        <v>13.04</v>
      </c>
      <c r="I224" s="319">
        <f t="shared" ref="I224:I230" si="19">ROUND(F224*H224,2)</f>
        <v>14333.28</v>
      </c>
      <c r="K224" s="136"/>
      <c r="L224" s="244"/>
      <c r="M224" s="244"/>
      <c r="N224" s="244"/>
      <c r="O224" s="244"/>
      <c r="P224" s="244"/>
      <c r="Q224" s="244"/>
      <c r="R224" s="244"/>
      <c r="S224" s="244"/>
      <c r="T224" s="244"/>
    </row>
    <row r="225" spans="1:20" s="181" customFormat="1" ht="25.5">
      <c r="A225" s="510"/>
      <c r="B225" s="154" t="s">
        <v>90</v>
      </c>
      <c r="C225" s="165" t="s">
        <v>406</v>
      </c>
      <c r="D225" s="366" t="s">
        <v>1235</v>
      </c>
      <c r="E225" s="372" t="s">
        <v>805</v>
      </c>
      <c r="F225" s="170">
        <f>'Quantitativo '!X101-'Quantitativo '!X104</f>
        <v>474.05810000000019</v>
      </c>
      <c r="G225" s="167">
        <f>18.29*1.1138</f>
        <v>20.371401999999996</v>
      </c>
      <c r="H225" s="156">
        <f t="shared" si="18"/>
        <v>25.84</v>
      </c>
      <c r="I225" s="156">
        <f t="shared" si="19"/>
        <v>12249.66</v>
      </c>
      <c r="K225" s="182"/>
      <c r="L225" s="136"/>
      <c r="M225" s="182"/>
      <c r="N225" s="182"/>
      <c r="O225" s="182"/>
      <c r="P225" s="182"/>
      <c r="Q225" s="182"/>
      <c r="R225" s="182"/>
      <c r="S225" s="182"/>
      <c r="T225" s="182"/>
    </row>
    <row r="226" spans="1:20" ht="25.5">
      <c r="A226" s="510"/>
      <c r="B226" s="154" t="s">
        <v>91</v>
      </c>
      <c r="C226" s="165" t="s">
        <v>406</v>
      </c>
      <c r="D226" s="366" t="s">
        <v>1236</v>
      </c>
      <c r="E226" s="372" t="s">
        <v>805</v>
      </c>
      <c r="F226" s="170">
        <f>'Quantitativo '!X104</f>
        <v>69.97</v>
      </c>
      <c r="G226" s="167">
        <f>18.29*1.1138</f>
        <v>20.371401999999996</v>
      </c>
      <c r="H226" s="156">
        <f t="shared" si="18"/>
        <v>25.84</v>
      </c>
      <c r="I226" s="156">
        <f t="shared" si="19"/>
        <v>1808.02</v>
      </c>
      <c r="J226" s="244"/>
      <c r="K226" s="63"/>
      <c r="L226" s="63"/>
      <c r="M226" s="63"/>
      <c r="N226" s="63"/>
      <c r="O226" s="63"/>
      <c r="P226" s="63"/>
      <c r="Q226" s="63"/>
      <c r="R226" s="63"/>
      <c r="S226" s="63"/>
      <c r="T226" s="63"/>
    </row>
    <row r="227" spans="1:20" s="210" customFormat="1" ht="25.5">
      <c r="A227" s="510"/>
      <c r="B227" s="154" t="s">
        <v>92</v>
      </c>
      <c r="C227" s="165" t="s">
        <v>1008</v>
      </c>
      <c r="D227" s="366" t="s">
        <v>1103</v>
      </c>
      <c r="E227" s="372" t="s">
        <v>805</v>
      </c>
      <c r="F227" s="170">
        <f>('Quantitativo '!T103)-'Quantitativo '!AC73</f>
        <v>528.91</v>
      </c>
      <c r="G227" s="167">
        <v>6.41</v>
      </c>
      <c r="H227" s="156">
        <f t="shared" si="18"/>
        <v>8.1300000000000008</v>
      </c>
      <c r="I227" s="156">
        <f t="shared" si="19"/>
        <v>4300.04</v>
      </c>
      <c r="J227" s="244"/>
      <c r="K227" s="212"/>
      <c r="L227" s="212"/>
      <c r="M227" s="212"/>
      <c r="N227" s="212"/>
      <c r="O227" s="212"/>
      <c r="P227" s="212"/>
      <c r="Q227" s="212"/>
      <c r="R227" s="212"/>
      <c r="S227" s="212"/>
      <c r="T227" s="212"/>
    </row>
    <row r="228" spans="1:20" s="289" customFormat="1" ht="25.5">
      <c r="A228" s="510"/>
      <c r="B228" s="154" t="s">
        <v>93</v>
      </c>
      <c r="C228" s="165" t="s">
        <v>1009</v>
      </c>
      <c r="D228" s="366" t="s">
        <v>834</v>
      </c>
      <c r="E228" s="372" t="s">
        <v>805</v>
      </c>
      <c r="F228" s="170">
        <f>82.53</f>
        <v>82.53</v>
      </c>
      <c r="G228" s="167">
        <v>22.99</v>
      </c>
      <c r="H228" s="156">
        <f t="shared" si="18"/>
        <v>29.16</v>
      </c>
      <c r="I228" s="156">
        <f t="shared" si="19"/>
        <v>2406.5700000000002</v>
      </c>
      <c r="J228" s="244"/>
      <c r="K228" s="244"/>
      <c r="L228" s="244"/>
      <c r="M228" s="244"/>
      <c r="N228" s="244"/>
      <c r="O228" s="244"/>
      <c r="P228" s="244"/>
      <c r="Q228" s="244"/>
      <c r="R228" s="244"/>
      <c r="S228" s="244"/>
      <c r="T228" s="244"/>
    </row>
    <row r="229" spans="1:20">
      <c r="A229" s="510"/>
      <c r="B229" s="154" t="s">
        <v>769</v>
      </c>
      <c r="C229" s="165" t="s">
        <v>861</v>
      </c>
      <c r="D229" s="366" t="s">
        <v>1237</v>
      </c>
      <c r="E229" s="372" t="s">
        <v>806</v>
      </c>
      <c r="F229" s="170">
        <v>1</v>
      </c>
      <c r="G229" s="167">
        <v>850</v>
      </c>
      <c r="H229" s="156">
        <f t="shared" si="18"/>
        <v>1078.23</v>
      </c>
      <c r="I229" s="156">
        <f t="shared" si="19"/>
        <v>1078.23</v>
      </c>
      <c r="J229" s="244"/>
      <c r="K229" s="63"/>
      <c r="L229" s="63"/>
      <c r="M229" s="63"/>
      <c r="N229" s="63"/>
      <c r="O229" s="63"/>
      <c r="P229" s="63"/>
      <c r="Q229" s="63"/>
      <c r="R229" s="63"/>
      <c r="S229" s="63"/>
      <c r="T229" s="63"/>
    </row>
    <row r="230" spans="1:20" ht="25.5">
      <c r="A230" s="510"/>
      <c r="B230" s="320" t="s">
        <v>794</v>
      </c>
      <c r="C230" s="388" t="s">
        <v>1010</v>
      </c>
      <c r="D230" s="367" t="s">
        <v>835</v>
      </c>
      <c r="E230" s="373" t="s">
        <v>805</v>
      </c>
      <c r="F230" s="376">
        <v>4.62</v>
      </c>
      <c r="G230" s="339">
        <v>19.53</v>
      </c>
      <c r="H230" s="323">
        <f t="shared" si="18"/>
        <v>24.77</v>
      </c>
      <c r="I230" s="323">
        <f t="shared" si="19"/>
        <v>114.44</v>
      </c>
      <c r="J230" s="244"/>
      <c r="K230" s="63"/>
      <c r="L230" s="63"/>
      <c r="M230" s="63"/>
      <c r="N230" s="63"/>
      <c r="O230" s="63"/>
      <c r="P230" s="63"/>
      <c r="Q230" s="63"/>
      <c r="R230" s="63"/>
      <c r="S230" s="63"/>
      <c r="T230" s="63"/>
    </row>
    <row r="231" spans="1:20" s="284" customFormat="1">
      <c r="A231" s="510"/>
      <c r="B231" s="369" t="s">
        <v>94</v>
      </c>
      <c r="C231" s="342"/>
      <c r="D231" s="343" t="s">
        <v>88</v>
      </c>
      <c r="E231" s="343"/>
      <c r="F231" s="343"/>
      <c r="G231" s="343"/>
      <c r="H231" s="343"/>
      <c r="I231" s="370">
        <f>SUM(I232:I241)</f>
        <v>10767.509999999998</v>
      </c>
      <c r="J231" s="244"/>
      <c r="K231" s="244"/>
      <c r="L231" s="244"/>
      <c r="M231" s="244"/>
      <c r="N231" s="244"/>
      <c r="O231" s="244"/>
      <c r="P231" s="244"/>
      <c r="Q231" s="244"/>
      <c r="R231" s="244"/>
      <c r="S231" s="244"/>
      <c r="T231" s="244"/>
    </row>
    <row r="232" spans="1:20" ht="31.5" customHeight="1">
      <c r="A232" s="510"/>
      <c r="B232" s="315" t="s">
        <v>96</v>
      </c>
      <c r="C232" s="395" t="s">
        <v>1011</v>
      </c>
      <c r="D232" s="365" t="s">
        <v>1014</v>
      </c>
      <c r="E232" s="325" t="s">
        <v>806</v>
      </c>
      <c r="F232" s="377">
        <v>3</v>
      </c>
      <c r="G232" s="341">
        <v>138.52000000000001</v>
      </c>
      <c r="H232" s="319">
        <f t="shared" ref="H232:H241" si="20">ROUND(G232*1.2685,2)</f>
        <v>175.71</v>
      </c>
      <c r="I232" s="319">
        <f t="shared" ref="I232:I241" si="21">ROUND(F232*H232,2)</f>
        <v>527.13</v>
      </c>
      <c r="J232" s="244"/>
      <c r="K232" s="63"/>
      <c r="L232" s="63"/>
      <c r="M232" s="63"/>
      <c r="N232" s="63"/>
      <c r="O232" s="63"/>
      <c r="P232" s="63"/>
      <c r="Q232" s="63"/>
      <c r="R232" s="63"/>
      <c r="S232" s="63"/>
      <c r="T232" s="63"/>
    </row>
    <row r="233" spans="1:20">
      <c r="A233" s="510"/>
      <c r="B233" s="154" t="s">
        <v>97</v>
      </c>
      <c r="C233" s="165" t="s">
        <v>1012</v>
      </c>
      <c r="D233" s="366" t="s">
        <v>1013</v>
      </c>
      <c r="E233" s="161" t="s">
        <v>806</v>
      </c>
      <c r="F233" s="170">
        <v>1</v>
      </c>
      <c r="G233" s="167">
        <v>370.35</v>
      </c>
      <c r="H233" s="156">
        <f t="shared" si="20"/>
        <v>469.79</v>
      </c>
      <c r="I233" s="156">
        <f t="shared" si="21"/>
        <v>469.79</v>
      </c>
      <c r="K233" s="63"/>
      <c r="L233" s="63"/>
      <c r="M233" s="63"/>
      <c r="N233" s="63"/>
      <c r="O233" s="63"/>
      <c r="P233" s="63"/>
      <c r="Q233" s="63"/>
      <c r="R233" s="63"/>
      <c r="S233" s="63"/>
      <c r="T233" s="63"/>
    </row>
    <row r="234" spans="1:20" ht="25.5">
      <c r="A234" s="510"/>
      <c r="B234" s="154" t="s">
        <v>98</v>
      </c>
      <c r="C234" s="165" t="s">
        <v>382</v>
      </c>
      <c r="D234" s="366" t="s">
        <v>1138</v>
      </c>
      <c r="E234" s="161" t="s">
        <v>806</v>
      </c>
      <c r="F234" s="170">
        <v>1</v>
      </c>
      <c r="G234" s="167">
        <f>391.62*1.1138</f>
        <v>436.18635599999999</v>
      </c>
      <c r="H234" s="156">
        <f t="shared" si="20"/>
        <v>553.29999999999995</v>
      </c>
      <c r="I234" s="156">
        <f t="shared" si="21"/>
        <v>553.29999999999995</v>
      </c>
      <c r="K234" s="63"/>
      <c r="L234" s="63"/>
      <c r="M234" s="63"/>
      <c r="N234" s="63"/>
      <c r="O234" s="63"/>
      <c r="P234" s="63"/>
      <c r="Q234" s="63"/>
      <c r="R234" s="63"/>
      <c r="S234" s="63"/>
      <c r="T234" s="63"/>
    </row>
    <row r="235" spans="1:20" s="351" customFormat="1" ht="25.5">
      <c r="A235" s="510"/>
      <c r="B235" s="154" t="s">
        <v>99</v>
      </c>
      <c r="C235" s="165" t="s">
        <v>1043</v>
      </c>
      <c r="D235" s="409" t="s">
        <v>1135</v>
      </c>
      <c r="E235" s="161" t="s">
        <v>806</v>
      </c>
      <c r="F235" s="170">
        <v>15</v>
      </c>
      <c r="G235" s="167">
        <f>76.6*1.1138</f>
        <v>85.31707999999999</v>
      </c>
      <c r="H235" s="156">
        <f t="shared" si="20"/>
        <v>108.22</v>
      </c>
      <c r="I235" s="156">
        <f>ROUND(F235*H235,2)</f>
        <v>1623.3</v>
      </c>
      <c r="K235" s="244"/>
      <c r="L235" s="244"/>
      <c r="M235" s="244"/>
      <c r="N235" s="244"/>
      <c r="O235" s="244"/>
      <c r="P235" s="244"/>
      <c r="Q235" s="244"/>
      <c r="R235" s="244"/>
      <c r="S235" s="244"/>
      <c r="T235" s="244"/>
    </row>
    <row r="236" spans="1:20" s="351" customFormat="1">
      <c r="A236" s="510"/>
      <c r="B236" s="154" t="s">
        <v>100</v>
      </c>
      <c r="C236" s="165" t="s">
        <v>861</v>
      </c>
      <c r="D236" s="366" t="s">
        <v>1136</v>
      </c>
      <c r="E236" s="161" t="s">
        <v>806</v>
      </c>
      <c r="F236" s="170">
        <v>15</v>
      </c>
      <c r="G236" s="170">
        <v>36</v>
      </c>
      <c r="H236" s="156">
        <f t="shared" si="20"/>
        <v>45.67</v>
      </c>
      <c r="I236" s="156">
        <f t="shared" si="21"/>
        <v>685.05</v>
      </c>
      <c r="K236" s="244"/>
      <c r="L236" s="244"/>
      <c r="M236" s="244"/>
      <c r="N236" s="244"/>
      <c r="O236" s="244"/>
      <c r="P236" s="244"/>
      <c r="Q236" s="244"/>
      <c r="R236" s="244"/>
      <c r="S236" s="244"/>
      <c r="T236" s="244"/>
    </row>
    <row r="237" spans="1:20" s="351" customFormat="1">
      <c r="A237" s="510"/>
      <c r="B237" s="154" t="s">
        <v>405</v>
      </c>
      <c r="C237" s="165" t="s">
        <v>861</v>
      </c>
      <c r="D237" s="366" t="s">
        <v>1137</v>
      </c>
      <c r="E237" s="161" t="s">
        <v>806</v>
      </c>
      <c r="F237" s="170">
        <v>2</v>
      </c>
      <c r="G237" s="170">
        <v>36</v>
      </c>
      <c r="H237" s="156">
        <f t="shared" si="20"/>
        <v>45.67</v>
      </c>
      <c r="I237" s="156">
        <f t="shared" si="21"/>
        <v>91.34</v>
      </c>
      <c r="K237" s="244"/>
      <c r="L237" s="244"/>
      <c r="M237" s="244"/>
      <c r="N237" s="244"/>
      <c r="O237" s="244"/>
      <c r="P237" s="244"/>
      <c r="Q237" s="244"/>
      <c r="R237" s="244"/>
      <c r="S237" s="244"/>
      <c r="T237" s="244"/>
    </row>
    <row r="238" spans="1:20" ht="25.5">
      <c r="A238" s="510"/>
      <c r="B238" s="154" t="s">
        <v>795</v>
      </c>
      <c r="C238" s="165" t="s">
        <v>861</v>
      </c>
      <c r="D238" s="366" t="s">
        <v>1015</v>
      </c>
      <c r="E238" s="161" t="s">
        <v>806</v>
      </c>
      <c r="F238" s="170">
        <v>4</v>
      </c>
      <c r="G238" s="170">
        <v>1.9</v>
      </c>
      <c r="H238" s="156">
        <f t="shared" si="20"/>
        <v>2.41</v>
      </c>
      <c r="I238" s="156">
        <f t="shared" si="21"/>
        <v>9.64</v>
      </c>
      <c r="K238" s="63"/>
      <c r="L238" s="63"/>
      <c r="M238" s="63"/>
      <c r="N238" s="244" t="s">
        <v>1024</v>
      </c>
      <c r="O238" s="63"/>
      <c r="P238" s="63"/>
      <c r="Q238" s="63"/>
      <c r="R238" s="63"/>
      <c r="S238" s="63"/>
      <c r="T238" s="63"/>
    </row>
    <row r="239" spans="1:20" ht="25.5">
      <c r="A239" s="510"/>
      <c r="B239" s="154" t="s">
        <v>796</v>
      </c>
      <c r="C239" s="165" t="s">
        <v>861</v>
      </c>
      <c r="D239" s="366" t="s">
        <v>1016</v>
      </c>
      <c r="E239" s="161" t="s">
        <v>806</v>
      </c>
      <c r="F239" s="170">
        <v>4</v>
      </c>
      <c r="G239" s="170">
        <v>4.37</v>
      </c>
      <c r="H239" s="156">
        <f t="shared" si="20"/>
        <v>5.54</v>
      </c>
      <c r="I239" s="156">
        <f t="shared" si="21"/>
        <v>22.16</v>
      </c>
      <c r="K239" s="63"/>
      <c r="L239" s="63"/>
      <c r="M239" s="63"/>
      <c r="N239" s="63"/>
      <c r="O239" s="63"/>
      <c r="P239" s="63"/>
      <c r="Q239" s="63"/>
      <c r="R239" s="63"/>
      <c r="S239" s="63"/>
      <c r="T239" s="63"/>
    </row>
    <row r="240" spans="1:20" ht="51">
      <c r="A240" s="510"/>
      <c r="B240" s="154" t="s">
        <v>797</v>
      </c>
      <c r="C240" s="165" t="s">
        <v>861</v>
      </c>
      <c r="D240" s="366" t="s">
        <v>1052</v>
      </c>
      <c r="E240" s="161" t="s">
        <v>806</v>
      </c>
      <c r="F240" s="170">
        <v>1</v>
      </c>
      <c r="G240" s="167">
        <f>2955.88+300+2000</f>
        <v>5255.88</v>
      </c>
      <c r="H240" s="156">
        <f t="shared" si="20"/>
        <v>6667.08</v>
      </c>
      <c r="I240" s="156">
        <f t="shared" si="21"/>
        <v>6667.08</v>
      </c>
      <c r="K240" s="63"/>
      <c r="L240" s="63"/>
      <c r="M240" s="63"/>
      <c r="N240" s="63"/>
      <c r="O240" s="63"/>
      <c r="P240" s="63"/>
      <c r="Q240" s="63"/>
      <c r="R240" s="63"/>
      <c r="S240" s="63"/>
      <c r="T240" s="63"/>
    </row>
    <row r="241" spans="1:20" s="410" customFormat="1" ht="38.25">
      <c r="A241" s="510"/>
      <c r="B241" s="320" t="s">
        <v>1075</v>
      </c>
      <c r="C241" s="388" t="s">
        <v>861</v>
      </c>
      <c r="D241" s="367" t="s">
        <v>1076</v>
      </c>
      <c r="E241" s="321" t="s">
        <v>806</v>
      </c>
      <c r="F241" s="376">
        <v>8</v>
      </c>
      <c r="G241" s="339">
        <v>11.7</v>
      </c>
      <c r="H241" s="323">
        <f t="shared" si="20"/>
        <v>14.84</v>
      </c>
      <c r="I241" s="323">
        <f t="shared" si="21"/>
        <v>118.72</v>
      </c>
      <c r="K241" s="244"/>
      <c r="L241" s="244"/>
      <c r="M241" s="244"/>
      <c r="N241" s="244"/>
      <c r="O241" s="244"/>
      <c r="P241" s="244"/>
      <c r="Q241" s="244"/>
      <c r="R241" s="244"/>
      <c r="S241" s="244"/>
      <c r="T241" s="244"/>
    </row>
    <row r="242" spans="1:20">
      <c r="A242" s="510"/>
      <c r="B242" s="518">
        <v>16</v>
      </c>
      <c r="C242" s="159"/>
      <c r="D242" s="146" t="s">
        <v>95</v>
      </c>
      <c r="E242" s="146"/>
      <c r="F242" s="146"/>
      <c r="G242" s="146"/>
      <c r="H242" s="146"/>
      <c r="I242" s="499">
        <f>SUM(I243:I271)</f>
        <v>202810.48</v>
      </c>
      <c r="K242" s="63"/>
      <c r="L242" s="63"/>
      <c r="M242" s="63"/>
      <c r="N242" s="63"/>
      <c r="O242" s="63"/>
      <c r="P242" s="63"/>
      <c r="Q242" s="63"/>
      <c r="R242" s="63"/>
      <c r="S242" s="63"/>
      <c r="T242" s="63"/>
    </row>
    <row r="243" spans="1:20" ht="38.25">
      <c r="A243" s="510"/>
      <c r="B243" s="315" t="s">
        <v>101</v>
      </c>
      <c r="C243" s="316" t="s">
        <v>1017</v>
      </c>
      <c r="D243" s="365" t="s">
        <v>1104</v>
      </c>
      <c r="E243" s="317" t="s">
        <v>805</v>
      </c>
      <c r="F243" s="349">
        <f>(253+24+37.4+2.1)-(F244)+(94.45+43.1033)-(24.1963)</f>
        <v>387.35700000000003</v>
      </c>
      <c r="G243" s="318">
        <v>56.87</v>
      </c>
      <c r="H243" s="319">
        <f t="shared" ref="H243:H271" si="22">ROUND(G243*1.2685,2)</f>
        <v>72.14</v>
      </c>
      <c r="I243" s="319">
        <f t="shared" ref="I243:I271" si="23">ROUND(F243*H243,2)</f>
        <v>27943.93</v>
      </c>
      <c r="L243" s="63"/>
      <c r="M243" s="63"/>
      <c r="N243" s="63"/>
      <c r="O243" s="63"/>
      <c r="P243" s="63"/>
      <c r="Q243" s="63"/>
      <c r="R243" s="63"/>
      <c r="S243" s="63"/>
      <c r="T243" s="63"/>
    </row>
    <row r="244" spans="1:20" s="173" customFormat="1" ht="51">
      <c r="A244" s="510"/>
      <c r="B244" s="154" t="s">
        <v>540</v>
      </c>
      <c r="C244" s="161" t="s">
        <v>861</v>
      </c>
      <c r="D244" s="366" t="s">
        <v>1105</v>
      </c>
      <c r="E244" s="155" t="s">
        <v>805</v>
      </c>
      <c r="F244" s="158">
        <f>15+(27.5)</f>
        <v>42.5</v>
      </c>
      <c r="G244" s="156">
        <v>62.25</v>
      </c>
      <c r="H244" s="156">
        <f t="shared" si="22"/>
        <v>78.959999999999994</v>
      </c>
      <c r="I244" s="156">
        <f t="shared" si="23"/>
        <v>3355.8</v>
      </c>
      <c r="L244" s="174"/>
      <c r="M244" s="174"/>
      <c r="N244" s="174"/>
      <c r="O244" s="174"/>
      <c r="P244" s="174"/>
      <c r="Q244" s="174"/>
      <c r="R244" s="174"/>
      <c r="S244" s="174"/>
      <c r="T244" s="174"/>
    </row>
    <row r="245" spans="1:20" s="138" customFormat="1" ht="51">
      <c r="A245" s="510"/>
      <c r="B245" s="154" t="s">
        <v>541</v>
      </c>
      <c r="C245" s="8" t="s">
        <v>861</v>
      </c>
      <c r="D245" s="366" t="s">
        <v>1106</v>
      </c>
      <c r="E245" s="155" t="s">
        <v>805</v>
      </c>
      <c r="F245" s="158">
        <f>1.8+(2.4153)</f>
        <v>4.2153</v>
      </c>
      <c r="G245" s="156">
        <v>62.25</v>
      </c>
      <c r="H245" s="156">
        <f t="shared" si="22"/>
        <v>78.959999999999994</v>
      </c>
      <c r="I245" s="156">
        <f t="shared" si="23"/>
        <v>332.84</v>
      </c>
      <c r="L245" s="139"/>
      <c r="M245" s="139"/>
      <c r="N245" s="139"/>
      <c r="O245" s="139"/>
      <c r="P245" s="139"/>
      <c r="Q245" s="139"/>
      <c r="R245" s="139"/>
      <c r="S245" s="139"/>
      <c r="T245" s="139"/>
    </row>
    <row r="246" spans="1:20" ht="51">
      <c r="A246" s="510"/>
      <c r="B246" s="154" t="s">
        <v>542</v>
      </c>
      <c r="C246" s="8" t="s">
        <v>861</v>
      </c>
      <c r="D246" s="366" t="s">
        <v>1107</v>
      </c>
      <c r="E246" s="155" t="s">
        <v>805</v>
      </c>
      <c r="F246" s="158">
        <v>1.875</v>
      </c>
      <c r="G246" s="156">
        <v>62.25</v>
      </c>
      <c r="H246" s="156">
        <f>ROUND(G246*1.2685,2)</f>
        <v>78.959999999999994</v>
      </c>
      <c r="I246" s="156">
        <f>ROUND(F246*H246,2)</f>
        <v>148.05000000000001</v>
      </c>
      <c r="K246" s="63"/>
      <c r="L246" s="63"/>
      <c r="M246" s="63"/>
      <c r="N246" s="63"/>
      <c r="O246" s="63"/>
      <c r="P246" s="63"/>
      <c r="Q246" s="63"/>
      <c r="R246" s="63"/>
      <c r="S246" s="63"/>
      <c r="T246" s="63"/>
    </row>
    <row r="247" spans="1:20" s="235" customFormat="1" ht="38.25">
      <c r="A247" s="510"/>
      <c r="B247" s="154" t="s">
        <v>543</v>
      </c>
      <c r="C247" s="161" t="s">
        <v>1018</v>
      </c>
      <c r="D247" s="366" t="s">
        <v>836</v>
      </c>
      <c r="E247" s="160" t="s">
        <v>808</v>
      </c>
      <c r="F247" s="158">
        <f>149+(75.56+38.56)</f>
        <v>263.12</v>
      </c>
      <c r="G247" s="156">
        <v>31.4</v>
      </c>
      <c r="H247" s="156">
        <f t="shared" si="22"/>
        <v>39.83</v>
      </c>
      <c r="I247" s="156">
        <f t="shared" si="23"/>
        <v>10480.07</v>
      </c>
      <c r="K247" s="236"/>
      <c r="L247" s="236"/>
      <c r="M247" s="236"/>
      <c r="N247" s="236"/>
      <c r="O247" s="236"/>
      <c r="P247" s="236"/>
      <c r="Q247" s="236"/>
      <c r="R247" s="236"/>
      <c r="S247" s="236"/>
      <c r="T247" s="236"/>
    </row>
    <row r="248" spans="1:20" ht="25.5">
      <c r="A248" s="510"/>
      <c r="B248" s="154" t="s">
        <v>544</v>
      </c>
      <c r="C248" s="161" t="s">
        <v>861</v>
      </c>
      <c r="D248" s="366" t="s">
        <v>837</v>
      </c>
      <c r="E248" s="160" t="s">
        <v>805</v>
      </c>
      <c r="F248" s="158">
        <v>86</v>
      </c>
      <c r="G248" s="156">
        <f>(4.6/0.0625)+(74.1*4/16.5)</f>
        <v>91.563636363636363</v>
      </c>
      <c r="H248" s="156">
        <f t="shared" si="22"/>
        <v>116.15</v>
      </c>
      <c r="I248" s="156">
        <f t="shared" si="23"/>
        <v>9988.9</v>
      </c>
      <c r="K248" s="63"/>
      <c r="L248" s="63"/>
      <c r="M248" s="63"/>
      <c r="N248" s="63"/>
      <c r="O248" s="63"/>
      <c r="P248" s="63"/>
      <c r="Q248" s="63"/>
      <c r="R248" s="63"/>
      <c r="S248" s="63"/>
      <c r="T248" s="63"/>
    </row>
    <row r="249" spans="1:20" s="140" customFormat="1" ht="25.5">
      <c r="A249" s="510"/>
      <c r="B249" s="154" t="s">
        <v>545</v>
      </c>
      <c r="C249" s="161" t="s">
        <v>861</v>
      </c>
      <c r="D249" s="366" t="s">
        <v>1109</v>
      </c>
      <c r="E249" s="160" t="s">
        <v>805</v>
      </c>
      <c r="F249" s="158">
        <v>3</v>
      </c>
      <c r="G249" s="156">
        <v>91.56</v>
      </c>
      <c r="H249" s="156">
        <f t="shared" si="22"/>
        <v>116.14</v>
      </c>
      <c r="I249" s="156">
        <f t="shared" si="23"/>
        <v>348.42</v>
      </c>
      <c r="K249" s="141"/>
      <c r="L249" s="141"/>
      <c r="M249" s="141"/>
      <c r="N249" s="141"/>
      <c r="O249" s="141"/>
      <c r="P249" s="141"/>
      <c r="Q249" s="141"/>
      <c r="R249" s="141"/>
      <c r="S249" s="141"/>
      <c r="T249" s="141"/>
    </row>
    <row r="250" spans="1:20" ht="25.5">
      <c r="A250" s="510"/>
      <c r="B250" s="154" t="s">
        <v>546</v>
      </c>
      <c r="C250" s="161" t="s">
        <v>861</v>
      </c>
      <c r="D250" s="366" t="s">
        <v>1110</v>
      </c>
      <c r="E250" s="161" t="s">
        <v>806</v>
      </c>
      <c r="F250" s="158">
        <v>1</v>
      </c>
      <c r="G250" s="156">
        <v>20987</v>
      </c>
      <c r="H250" s="156">
        <f t="shared" si="22"/>
        <v>26622.01</v>
      </c>
      <c r="I250" s="156">
        <f t="shared" si="23"/>
        <v>26622.01</v>
      </c>
      <c r="J250" s="178"/>
      <c r="K250" s="63"/>
      <c r="L250" s="63"/>
      <c r="M250" s="63"/>
      <c r="N250" s="63"/>
      <c r="O250" s="63"/>
      <c r="P250" s="63"/>
      <c r="Q250" s="63"/>
      <c r="R250" s="63"/>
      <c r="S250" s="63"/>
      <c r="T250" s="63"/>
    </row>
    <row r="251" spans="1:20" s="173" customFormat="1" ht="76.5">
      <c r="A251" s="510"/>
      <c r="B251" s="154" t="s">
        <v>547</v>
      </c>
      <c r="C251" s="176" t="s">
        <v>398</v>
      </c>
      <c r="D251" s="366" t="s">
        <v>1226</v>
      </c>
      <c r="E251" s="176" t="s">
        <v>808</v>
      </c>
      <c r="F251" s="375">
        <v>260</v>
      </c>
      <c r="G251" s="177">
        <f>180*1.1138</f>
        <v>200.48399999999998</v>
      </c>
      <c r="H251" s="156">
        <f t="shared" si="22"/>
        <v>254.31</v>
      </c>
      <c r="I251" s="156">
        <f t="shared" si="23"/>
        <v>66120.600000000006</v>
      </c>
      <c r="K251" s="174"/>
      <c r="L251" s="174"/>
      <c r="M251" s="174"/>
      <c r="N251" s="174"/>
      <c r="O251" s="174"/>
      <c r="P251" s="174"/>
      <c r="Q251" s="174"/>
      <c r="R251" s="174"/>
      <c r="S251" s="174"/>
      <c r="T251" s="174"/>
    </row>
    <row r="252" spans="1:20" ht="76.5">
      <c r="A252" s="510"/>
      <c r="B252" s="154" t="s">
        <v>548</v>
      </c>
      <c r="C252" s="161" t="s">
        <v>397</v>
      </c>
      <c r="D252" s="366" t="s">
        <v>1243</v>
      </c>
      <c r="E252" s="161" t="s">
        <v>805</v>
      </c>
      <c r="F252" s="170">
        <f>3.4*2.3</f>
        <v>7.8199999999999994</v>
      </c>
      <c r="G252" s="167">
        <f>221.09*1.1138</f>
        <v>246.25004199999998</v>
      </c>
      <c r="H252" s="156">
        <f t="shared" si="22"/>
        <v>312.37</v>
      </c>
      <c r="I252" s="156">
        <f t="shared" si="23"/>
        <v>2442.73</v>
      </c>
      <c r="K252" s="63"/>
      <c r="L252" s="63"/>
      <c r="M252" s="63"/>
      <c r="N252" s="63"/>
      <c r="O252" s="63"/>
      <c r="P252" s="63"/>
      <c r="Q252" s="63"/>
      <c r="R252" s="63"/>
      <c r="S252" s="63"/>
      <c r="T252" s="63"/>
    </row>
    <row r="253" spans="1:20" s="269" customFormat="1" ht="38.25">
      <c r="A253" s="510"/>
      <c r="B253" s="154" t="s">
        <v>549</v>
      </c>
      <c r="C253" s="161" t="s">
        <v>397</v>
      </c>
      <c r="D253" s="366" t="s">
        <v>1111</v>
      </c>
      <c r="E253" s="161" t="s">
        <v>805</v>
      </c>
      <c r="F253" s="170">
        <f>1.2*2.3</f>
        <v>2.76</v>
      </c>
      <c r="G253" s="167">
        <f>221.09*1.1138</f>
        <v>246.25004199999998</v>
      </c>
      <c r="H253" s="156">
        <f t="shared" si="22"/>
        <v>312.37</v>
      </c>
      <c r="I253" s="156">
        <f t="shared" si="23"/>
        <v>862.14</v>
      </c>
      <c r="K253" s="244"/>
      <c r="L253" s="244"/>
      <c r="M253" s="244"/>
      <c r="N253" s="244"/>
      <c r="O253" s="244"/>
      <c r="P253" s="244"/>
      <c r="Q253" s="244"/>
      <c r="R253" s="244"/>
      <c r="S253" s="244"/>
      <c r="T253" s="244"/>
    </row>
    <row r="254" spans="1:20" ht="38.25">
      <c r="A254" s="510"/>
      <c r="B254" s="154" t="s">
        <v>550</v>
      </c>
      <c r="C254" s="171" t="s">
        <v>861</v>
      </c>
      <c r="D254" s="366" t="s">
        <v>838</v>
      </c>
      <c r="E254" s="161" t="s">
        <v>806</v>
      </c>
      <c r="F254" s="170">
        <v>1</v>
      </c>
      <c r="G254" s="156">
        <f>350</f>
        <v>350</v>
      </c>
      <c r="H254" s="156">
        <f t="shared" si="22"/>
        <v>443.98</v>
      </c>
      <c r="I254" s="156">
        <f t="shared" si="23"/>
        <v>443.98</v>
      </c>
      <c r="K254" s="63"/>
      <c r="L254" s="63"/>
      <c r="M254" s="63"/>
      <c r="N254" s="63"/>
      <c r="O254" s="63"/>
      <c r="P254" s="63"/>
      <c r="Q254" s="63"/>
      <c r="R254" s="63"/>
      <c r="S254" s="63"/>
      <c r="T254" s="63"/>
    </row>
    <row r="255" spans="1:20" s="144" customFormat="1" ht="25.5">
      <c r="A255" s="510"/>
      <c r="B255" s="154" t="s">
        <v>551</v>
      </c>
      <c r="C255" s="161" t="s">
        <v>667</v>
      </c>
      <c r="D255" s="366" t="s">
        <v>1112</v>
      </c>
      <c r="E255" s="161" t="s">
        <v>806</v>
      </c>
      <c r="F255" s="170">
        <v>1</v>
      </c>
      <c r="G255" s="156">
        <f>74.84*1.1138</f>
        <v>83.356791999999999</v>
      </c>
      <c r="H255" s="156">
        <f t="shared" si="22"/>
        <v>105.74</v>
      </c>
      <c r="I255" s="156">
        <f t="shared" si="23"/>
        <v>105.74</v>
      </c>
      <c r="J255" s="175"/>
      <c r="K255" s="145"/>
      <c r="L255" s="145"/>
      <c r="M255" s="145"/>
      <c r="N255" s="145"/>
      <c r="O255" s="145"/>
      <c r="P255" s="145"/>
      <c r="Q255" s="145"/>
      <c r="R255" s="145"/>
      <c r="S255" s="145"/>
      <c r="T255" s="145"/>
    </row>
    <row r="256" spans="1:20" s="144" customFormat="1" ht="51">
      <c r="A256" s="510"/>
      <c r="B256" s="154" t="s">
        <v>552</v>
      </c>
      <c r="C256" s="8" t="s">
        <v>861</v>
      </c>
      <c r="D256" s="366" t="s">
        <v>1113</v>
      </c>
      <c r="E256" s="161" t="s">
        <v>806</v>
      </c>
      <c r="F256" s="170">
        <v>1</v>
      </c>
      <c r="G256" s="167">
        <v>3750</v>
      </c>
      <c r="H256" s="156">
        <f t="shared" si="22"/>
        <v>4756.88</v>
      </c>
      <c r="I256" s="156">
        <f t="shared" si="23"/>
        <v>4756.88</v>
      </c>
      <c r="J256" s="175"/>
      <c r="K256" s="145"/>
      <c r="L256" s="145"/>
      <c r="M256" s="145"/>
      <c r="N256" s="145"/>
      <c r="O256" s="145"/>
      <c r="P256" s="145"/>
      <c r="Q256" s="145"/>
      <c r="R256" s="145"/>
      <c r="S256" s="145"/>
      <c r="T256" s="145"/>
    </row>
    <row r="257" spans="1:20" s="269" customFormat="1" ht="25.5">
      <c r="A257" s="510"/>
      <c r="B257" s="154" t="s">
        <v>553</v>
      </c>
      <c r="C257" s="8" t="s">
        <v>1019</v>
      </c>
      <c r="D257" s="366" t="s">
        <v>839</v>
      </c>
      <c r="E257" s="172" t="s">
        <v>805</v>
      </c>
      <c r="F257" s="170">
        <v>402.88330000000002</v>
      </c>
      <c r="G257" s="167">
        <v>12.99</v>
      </c>
      <c r="H257" s="156">
        <f t="shared" si="22"/>
        <v>16.48</v>
      </c>
      <c r="I257" s="156">
        <f t="shared" si="23"/>
        <v>6639.52</v>
      </c>
      <c r="J257" s="175"/>
      <c r="K257" s="244"/>
      <c r="L257" s="244"/>
      <c r="M257" s="244"/>
      <c r="N257" s="244"/>
      <c r="O257" s="244"/>
      <c r="P257" s="244"/>
      <c r="Q257" s="244"/>
      <c r="R257" s="244"/>
      <c r="S257" s="244"/>
      <c r="T257" s="244"/>
    </row>
    <row r="258" spans="1:20" s="269" customFormat="1" ht="25.5">
      <c r="A258" s="510"/>
      <c r="B258" s="154" t="s">
        <v>580</v>
      </c>
      <c r="C258" s="8" t="s">
        <v>861</v>
      </c>
      <c r="D258" s="366" t="s">
        <v>1022</v>
      </c>
      <c r="E258" s="172" t="s">
        <v>807</v>
      </c>
      <c r="F258" s="170">
        <f>0.15*F257</f>
        <v>60.432495000000003</v>
      </c>
      <c r="G258" s="167">
        <v>140</v>
      </c>
      <c r="H258" s="156">
        <f>ROUND(G258*1.2685,2)</f>
        <v>177.59</v>
      </c>
      <c r="I258" s="156">
        <f t="shared" si="23"/>
        <v>10732.21</v>
      </c>
      <c r="J258" s="175"/>
      <c r="K258" s="244"/>
      <c r="L258" s="244"/>
      <c r="M258" s="244"/>
      <c r="N258" s="244"/>
      <c r="O258" s="244"/>
      <c r="P258" s="244"/>
      <c r="Q258" s="244"/>
      <c r="R258" s="244"/>
      <c r="S258" s="244"/>
      <c r="T258" s="244"/>
    </row>
    <row r="259" spans="1:20" s="213" customFormat="1" ht="30">
      <c r="A259" s="510"/>
      <c r="B259" s="154" t="s">
        <v>581</v>
      </c>
      <c r="C259" s="8" t="s">
        <v>672</v>
      </c>
      <c r="D259" s="366" t="s">
        <v>1114</v>
      </c>
      <c r="E259" s="172" t="s">
        <v>807</v>
      </c>
      <c r="F259" s="170">
        <f>897.86*0.12</f>
        <v>107.7432</v>
      </c>
      <c r="G259" s="167">
        <f>51*1.1138</f>
        <v>56.803799999999995</v>
      </c>
      <c r="H259" s="156">
        <f>ROUND(G259*1.2685,2)</f>
        <v>72.06</v>
      </c>
      <c r="I259" s="156">
        <f>ROUND(F259*H259,2)</f>
        <v>7763.97</v>
      </c>
      <c r="J259" s="175"/>
      <c r="K259" s="214"/>
      <c r="L259" s="214"/>
      <c r="M259" s="214"/>
      <c r="N259" s="214"/>
      <c r="O259" s="214"/>
      <c r="P259" s="214"/>
      <c r="Q259" s="214"/>
      <c r="R259" s="214"/>
      <c r="S259" s="214"/>
      <c r="T259" s="214"/>
    </row>
    <row r="260" spans="1:20" s="213" customFormat="1" ht="30">
      <c r="A260" s="510"/>
      <c r="B260" s="154" t="s">
        <v>582</v>
      </c>
      <c r="C260" s="8" t="s">
        <v>1116</v>
      </c>
      <c r="D260" s="366" t="s">
        <v>1115</v>
      </c>
      <c r="E260" s="172" t="s">
        <v>805</v>
      </c>
      <c r="F260" s="170">
        <v>897.86</v>
      </c>
      <c r="G260" s="167">
        <f>1.69*1.1138</f>
        <v>1.8823219999999998</v>
      </c>
      <c r="H260" s="156">
        <f>ROUND(G260*1.2685,2)</f>
        <v>2.39</v>
      </c>
      <c r="I260" s="156">
        <f t="shared" si="23"/>
        <v>2145.89</v>
      </c>
      <c r="J260" s="175"/>
      <c r="K260" s="214"/>
      <c r="L260" s="214"/>
      <c r="M260" s="214"/>
      <c r="N260" s="214"/>
      <c r="O260" s="214"/>
      <c r="P260" s="214"/>
      <c r="Q260" s="214"/>
      <c r="R260" s="214"/>
      <c r="S260" s="214"/>
      <c r="T260" s="214"/>
    </row>
    <row r="261" spans="1:20" s="269" customFormat="1" ht="38.25">
      <c r="A261" s="510"/>
      <c r="B261" s="154" t="s">
        <v>583</v>
      </c>
      <c r="C261" s="8" t="s">
        <v>861</v>
      </c>
      <c r="D261" s="366" t="s">
        <v>1117</v>
      </c>
      <c r="E261" s="161" t="s">
        <v>806</v>
      </c>
      <c r="F261" s="170">
        <v>8</v>
      </c>
      <c r="G261" s="167">
        <v>350</v>
      </c>
      <c r="H261" s="156">
        <f t="shared" si="22"/>
        <v>443.98</v>
      </c>
      <c r="I261" s="156">
        <f t="shared" si="23"/>
        <v>3551.84</v>
      </c>
      <c r="J261" s="175"/>
      <c r="K261" s="244"/>
      <c r="L261" s="244"/>
      <c r="M261" s="244"/>
      <c r="N261" s="244"/>
      <c r="O261" s="244"/>
      <c r="P261" s="244"/>
      <c r="Q261" s="244"/>
      <c r="R261" s="244"/>
      <c r="S261" s="244"/>
      <c r="T261" s="244"/>
    </row>
    <row r="262" spans="1:20" s="491" customFormat="1" ht="38.25">
      <c r="A262" s="510"/>
      <c r="B262" s="154" t="s">
        <v>668</v>
      </c>
      <c r="C262" s="8" t="s">
        <v>1239</v>
      </c>
      <c r="D262" s="366" t="s">
        <v>1242</v>
      </c>
      <c r="E262" s="161" t="s">
        <v>806</v>
      </c>
      <c r="F262" s="170">
        <v>6</v>
      </c>
      <c r="G262" s="167">
        <v>109.16</v>
      </c>
      <c r="H262" s="156">
        <f t="shared" ref="H262" si="24">ROUND(G262*1.2685,2)</f>
        <v>138.47</v>
      </c>
      <c r="I262" s="156">
        <f t="shared" ref="I262" si="25">ROUND(F262*H262,2)</f>
        <v>830.82</v>
      </c>
      <c r="J262" s="175"/>
      <c r="K262" s="244"/>
      <c r="L262" s="244"/>
      <c r="M262" s="244"/>
      <c r="N262" s="244"/>
      <c r="O262" s="244"/>
      <c r="P262" s="244"/>
      <c r="Q262" s="244"/>
      <c r="R262" s="244"/>
      <c r="S262" s="244"/>
      <c r="T262" s="244"/>
    </row>
    <row r="263" spans="1:20" s="491" customFormat="1" ht="30">
      <c r="A263" s="510"/>
      <c r="B263" s="154" t="s">
        <v>669</v>
      </c>
      <c r="C263" s="8" t="s">
        <v>1240</v>
      </c>
      <c r="D263" s="366" t="s">
        <v>1241</v>
      </c>
      <c r="E263" s="161" t="s">
        <v>806</v>
      </c>
      <c r="F263" s="170">
        <v>3</v>
      </c>
      <c r="G263" s="167">
        <v>336.95</v>
      </c>
      <c r="H263" s="156">
        <f t="shared" ref="H263" si="26">ROUND(G263*1.2685,2)</f>
        <v>427.42</v>
      </c>
      <c r="I263" s="156">
        <f t="shared" ref="I263" si="27">ROUND(F263*H263,2)</f>
        <v>1282.26</v>
      </c>
      <c r="J263" s="175"/>
      <c r="K263" s="244"/>
      <c r="L263" s="244"/>
      <c r="M263" s="244"/>
      <c r="N263" s="244"/>
      <c r="O263" s="244"/>
      <c r="P263" s="244"/>
      <c r="Q263" s="244"/>
      <c r="R263" s="244"/>
      <c r="S263" s="244"/>
      <c r="T263" s="244"/>
    </row>
    <row r="264" spans="1:20" s="241" customFormat="1" ht="63.75">
      <c r="A264" s="510"/>
      <c r="B264" s="154" t="s">
        <v>762</v>
      </c>
      <c r="C264" s="8" t="s">
        <v>861</v>
      </c>
      <c r="D264" s="366" t="s">
        <v>1134</v>
      </c>
      <c r="E264" s="161" t="s">
        <v>806</v>
      </c>
      <c r="F264" s="170">
        <v>4</v>
      </c>
      <c r="G264" s="167">
        <v>800</v>
      </c>
      <c r="H264" s="156">
        <f t="shared" si="22"/>
        <v>1014.8</v>
      </c>
      <c r="I264" s="156">
        <f t="shared" si="23"/>
        <v>4059.2</v>
      </c>
      <c r="J264" s="175"/>
      <c r="K264" s="242"/>
      <c r="L264" s="242"/>
      <c r="M264" s="242"/>
      <c r="N264" s="242"/>
      <c r="O264" s="242"/>
      <c r="P264" s="242"/>
      <c r="Q264" s="242"/>
      <c r="R264" s="242"/>
      <c r="S264" s="242"/>
      <c r="T264" s="242"/>
    </row>
    <row r="265" spans="1:20" s="241" customFormat="1" ht="76.5">
      <c r="A265" s="510"/>
      <c r="B265" s="154" t="s">
        <v>670</v>
      </c>
      <c r="C265" s="287" t="s">
        <v>1020</v>
      </c>
      <c r="D265" s="366" t="s">
        <v>840</v>
      </c>
      <c r="E265" s="288" t="s">
        <v>808</v>
      </c>
      <c r="F265" s="170">
        <v>34.35</v>
      </c>
      <c r="G265" s="167">
        <v>102.72</v>
      </c>
      <c r="H265" s="156">
        <f t="shared" si="22"/>
        <v>130.30000000000001</v>
      </c>
      <c r="I265" s="156">
        <f>ROUND(F265*H265,2)</f>
        <v>4475.8100000000004</v>
      </c>
      <c r="J265" s="175"/>
      <c r="K265" s="242"/>
      <c r="L265" s="242"/>
      <c r="M265" s="242"/>
      <c r="N265" s="242"/>
      <c r="O265" s="242"/>
      <c r="P265" s="242"/>
      <c r="Q265" s="242"/>
      <c r="R265" s="242"/>
      <c r="S265" s="242"/>
      <c r="T265" s="242"/>
    </row>
    <row r="266" spans="1:20" s="285" customFormat="1" ht="51">
      <c r="A266" s="510"/>
      <c r="B266" s="154" t="s">
        <v>671</v>
      </c>
      <c r="C266" s="8" t="s">
        <v>584</v>
      </c>
      <c r="D266" s="366" t="s">
        <v>1133</v>
      </c>
      <c r="E266" s="161" t="s">
        <v>806</v>
      </c>
      <c r="F266" s="170">
        <v>1</v>
      </c>
      <c r="G266" s="167">
        <f>1092.82*1.1138</f>
        <v>1217.1829159999998</v>
      </c>
      <c r="H266" s="156">
        <f t="shared" si="22"/>
        <v>1544</v>
      </c>
      <c r="I266" s="156">
        <f t="shared" si="23"/>
        <v>1544</v>
      </c>
      <c r="J266" s="175"/>
      <c r="K266" s="244"/>
      <c r="L266" s="244"/>
      <c r="M266" s="244"/>
      <c r="N266" s="244"/>
      <c r="O266" s="244"/>
      <c r="P266" s="244"/>
      <c r="Q266" s="244"/>
      <c r="R266" s="244"/>
      <c r="S266" s="244"/>
      <c r="T266" s="244"/>
    </row>
    <row r="267" spans="1:20" s="285" customFormat="1" ht="38.25">
      <c r="A267" s="510"/>
      <c r="B267" s="154" t="s">
        <v>763</v>
      </c>
      <c r="C267" s="8" t="s">
        <v>585</v>
      </c>
      <c r="D267" s="366" t="s">
        <v>841</v>
      </c>
      <c r="E267" s="161" t="s">
        <v>806</v>
      </c>
      <c r="F267" s="170">
        <v>3</v>
      </c>
      <c r="G267" s="167">
        <f>84.08*1.1138</f>
        <v>93.648303999999996</v>
      </c>
      <c r="H267" s="156">
        <f t="shared" si="22"/>
        <v>118.79</v>
      </c>
      <c r="I267" s="156">
        <f t="shared" si="23"/>
        <v>356.37</v>
      </c>
      <c r="J267" s="175"/>
      <c r="K267" s="244"/>
      <c r="L267" s="244"/>
      <c r="M267" s="244"/>
      <c r="N267" s="244"/>
      <c r="O267" s="244"/>
      <c r="P267" s="244"/>
      <c r="Q267" s="244"/>
      <c r="R267" s="244"/>
      <c r="S267" s="244"/>
      <c r="T267" s="244"/>
    </row>
    <row r="268" spans="1:20" s="285" customFormat="1" ht="38.25">
      <c r="A268" s="510"/>
      <c r="B268" s="154" t="s">
        <v>764</v>
      </c>
      <c r="C268" s="8" t="s">
        <v>760</v>
      </c>
      <c r="D268" s="366" t="s">
        <v>842</v>
      </c>
      <c r="E268" s="172" t="s">
        <v>823</v>
      </c>
      <c r="F268" s="170">
        <v>1</v>
      </c>
      <c r="G268" s="167">
        <f>3125.11*1.1138</f>
        <v>3480.7475179999997</v>
      </c>
      <c r="H268" s="156">
        <f t="shared" si="22"/>
        <v>4415.33</v>
      </c>
      <c r="I268" s="156">
        <f t="shared" si="23"/>
        <v>4415.33</v>
      </c>
      <c r="J268" s="175"/>
      <c r="K268" s="244"/>
      <c r="L268" s="244"/>
      <c r="M268" s="244"/>
      <c r="N268" s="244"/>
      <c r="O268" s="244"/>
      <c r="P268" s="244"/>
      <c r="Q268" s="244"/>
      <c r="R268" s="244"/>
      <c r="S268" s="244"/>
      <c r="T268" s="244"/>
    </row>
    <row r="269" spans="1:20" s="289" customFormat="1" ht="30">
      <c r="A269" s="510"/>
      <c r="B269" s="154" t="s">
        <v>765</v>
      </c>
      <c r="C269" s="8" t="s">
        <v>761</v>
      </c>
      <c r="D269" s="366" t="s">
        <v>1118</v>
      </c>
      <c r="E269" s="172" t="s">
        <v>823</v>
      </c>
      <c r="F269" s="170">
        <v>1</v>
      </c>
      <c r="G269" s="167">
        <f>124.9*1.1138</f>
        <v>139.11362</v>
      </c>
      <c r="H269" s="156">
        <f t="shared" si="22"/>
        <v>176.47</v>
      </c>
      <c r="I269" s="156">
        <f t="shared" si="23"/>
        <v>176.47</v>
      </c>
      <c r="J269" s="175"/>
      <c r="K269" s="244"/>
      <c r="L269" s="244"/>
      <c r="M269" s="244"/>
      <c r="N269" s="244"/>
      <c r="O269" s="244"/>
      <c r="P269" s="244"/>
      <c r="Q269" s="244"/>
      <c r="R269" s="244"/>
      <c r="S269" s="244"/>
      <c r="T269" s="244"/>
    </row>
    <row r="270" spans="1:20" ht="25.5">
      <c r="A270" s="510"/>
      <c r="B270" s="154" t="s">
        <v>1238</v>
      </c>
      <c r="C270" s="8" t="s">
        <v>861</v>
      </c>
      <c r="D270" s="366" t="s">
        <v>843</v>
      </c>
      <c r="E270" s="172" t="s">
        <v>808</v>
      </c>
      <c r="F270" s="170">
        <v>46</v>
      </c>
      <c r="G270" s="167">
        <v>2.99</v>
      </c>
      <c r="H270" s="156">
        <f t="shared" si="22"/>
        <v>3.79</v>
      </c>
      <c r="I270" s="156">
        <f t="shared" si="23"/>
        <v>174.34</v>
      </c>
      <c r="K270" s="102"/>
      <c r="L270" s="63"/>
      <c r="M270" s="63"/>
      <c r="N270" s="63"/>
      <c r="O270" s="63"/>
      <c r="P270" s="63"/>
      <c r="Q270" s="63"/>
      <c r="R270" s="63"/>
      <c r="S270" s="63"/>
      <c r="T270" s="63"/>
    </row>
    <row r="271" spans="1:20" ht="31.5" customHeight="1">
      <c r="A271" s="510"/>
      <c r="B271" s="320" t="s">
        <v>1244</v>
      </c>
      <c r="C271" s="353" t="s">
        <v>861</v>
      </c>
      <c r="D271" s="367" t="s">
        <v>1164</v>
      </c>
      <c r="E271" s="321" t="s">
        <v>806</v>
      </c>
      <c r="F271" s="376">
        <v>1</v>
      </c>
      <c r="G271" s="339">
        <v>560</v>
      </c>
      <c r="H271" s="339">
        <f t="shared" si="22"/>
        <v>710.36</v>
      </c>
      <c r="I271" s="339">
        <f t="shared" si="23"/>
        <v>710.36</v>
      </c>
      <c r="K271" s="63"/>
      <c r="L271" s="63"/>
      <c r="M271" s="63"/>
      <c r="N271" s="63"/>
      <c r="O271" s="63"/>
      <c r="P271" s="63"/>
      <c r="Q271" s="63"/>
      <c r="R271" s="63"/>
      <c r="S271" s="63"/>
      <c r="T271" s="63"/>
    </row>
    <row r="272" spans="1:20" s="272" customFormat="1">
      <c r="A272" s="510"/>
      <c r="B272" s="520" t="s">
        <v>102</v>
      </c>
      <c r="C272" s="342"/>
      <c r="D272" s="343" t="s">
        <v>103</v>
      </c>
      <c r="E272" s="343"/>
      <c r="F272" s="343"/>
      <c r="G272" s="343"/>
      <c r="H272" s="343"/>
      <c r="I272" s="501">
        <f>I273</f>
        <v>1950.62</v>
      </c>
      <c r="K272" s="244"/>
      <c r="L272" s="244"/>
      <c r="M272" s="244"/>
      <c r="N272" s="244"/>
      <c r="O272" s="244"/>
      <c r="P272" s="244"/>
      <c r="Q272" s="244"/>
      <c r="R272" s="244"/>
      <c r="S272" s="244"/>
      <c r="T272" s="244"/>
    </row>
    <row r="273" spans="1:20" s="272" customFormat="1">
      <c r="A273" s="510"/>
      <c r="B273" s="354" t="s">
        <v>104</v>
      </c>
      <c r="C273" s="246" t="s">
        <v>1021</v>
      </c>
      <c r="D273" s="383" t="s">
        <v>845</v>
      </c>
      <c r="E273" s="246" t="s">
        <v>805</v>
      </c>
      <c r="F273" s="374">
        <v>641.65</v>
      </c>
      <c r="G273" s="247">
        <v>2.4</v>
      </c>
      <c r="H273" s="247">
        <f>ROUND(G273*1.2685,2)</f>
        <v>3.04</v>
      </c>
      <c r="I273" s="247">
        <f>ROUND(F273*H273,2)</f>
        <v>1950.62</v>
      </c>
      <c r="K273" s="244"/>
      <c r="L273" s="244"/>
      <c r="M273" s="244"/>
      <c r="N273" s="244"/>
      <c r="O273" s="244"/>
      <c r="P273" s="244"/>
      <c r="Q273" s="244"/>
      <c r="R273" s="244"/>
      <c r="S273" s="244"/>
      <c r="T273" s="244"/>
    </row>
    <row r="274" spans="1:20">
      <c r="A274" s="510"/>
      <c r="B274" s="520" t="s">
        <v>554</v>
      </c>
      <c r="C274" s="342"/>
      <c r="D274" s="343" t="s">
        <v>395</v>
      </c>
      <c r="E274" s="343"/>
      <c r="F274" s="343"/>
      <c r="G274" s="343"/>
      <c r="H274" s="343"/>
      <c r="I274" s="501">
        <f>I275</f>
        <v>7144.77</v>
      </c>
      <c r="K274" s="63"/>
      <c r="L274" s="63"/>
      <c r="M274" s="63"/>
      <c r="N274" s="63"/>
      <c r="O274" s="63"/>
      <c r="P274" s="63"/>
      <c r="Q274" s="63"/>
      <c r="R274" s="63"/>
      <c r="S274" s="63"/>
      <c r="T274" s="63"/>
    </row>
    <row r="275" spans="1:20" ht="25.5">
      <c r="A275" s="510"/>
      <c r="B275" s="354" t="s">
        <v>555</v>
      </c>
      <c r="C275" s="355" t="s">
        <v>861</v>
      </c>
      <c r="D275" s="383" t="s">
        <v>844</v>
      </c>
      <c r="E275" s="246" t="s">
        <v>805</v>
      </c>
      <c r="F275" s="374">
        <v>2253.87</v>
      </c>
      <c r="G275" s="247">
        <v>2.5</v>
      </c>
      <c r="H275" s="247">
        <f>ROUND(G275*1.2685,2)</f>
        <v>3.17</v>
      </c>
      <c r="I275" s="247">
        <f>ROUND(F275*H275,2)</f>
        <v>7144.77</v>
      </c>
      <c r="K275" s="63"/>
      <c r="L275" s="63"/>
      <c r="M275" s="63"/>
      <c r="N275" s="63"/>
      <c r="O275" s="63"/>
      <c r="P275" s="63"/>
      <c r="Q275" s="63"/>
      <c r="R275" s="63"/>
      <c r="S275" s="63"/>
      <c r="T275" s="63"/>
    </row>
    <row r="276" spans="1:20" s="447" customFormat="1" ht="15.75" thickBot="1">
      <c r="A276" s="510"/>
      <c r="B276" s="569" t="s">
        <v>105</v>
      </c>
      <c r="C276" s="570"/>
      <c r="D276" s="570"/>
      <c r="E276" s="570"/>
      <c r="F276" s="570"/>
      <c r="G276" s="571"/>
      <c r="H276" s="404"/>
      <c r="I276" s="405">
        <f>SUM(I272,I274,I242,I231,I223,I213,I172,I159,I92,I88,I68,I41,I36,I28,I24,I18,I9,I22)</f>
        <v>1443045.47</v>
      </c>
      <c r="K276" s="244"/>
      <c r="L276" s="244"/>
      <c r="M276" s="244"/>
      <c r="N276" s="244"/>
      <c r="O276" s="244"/>
      <c r="P276" s="244"/>
      <c r="Q276" s="244"/>
      <c r="R276" s="244"/>
      <c r="S276" s="244"/>
      <c r="T276" s="244"/>
    </row>
    <row r="277" spans="1:20" s="447" customFormat="1">
      <c r="A277" s="510"/>
      <c r="B277" s="521"/>
      <c r="C277" s="419"/>
      <c r="D277" s="419"/>
      <c r="E277" s="419"/>
      <c r="F277" s="419"/>
      <c r="G277" s="419"/>
      <c r="H277" s="419"/>
      <c r="I277" s="502"/>
      <c r="K277" s="244"/>
      <c r="L277" s="244"/>
      <c r="M277" s="244"/>
      <c r="N277" s="244"/>
      <c r="O277" s="244"/>
      <c r="P277" s="244"/>
      <c r="Q277" s="244"/>
      <c r="R277" s="244"/>
      <c r="S277" s="244"/>
      <c r="T277" s="244"/>
    </row>
    <row r="278" spans="1:20" s="386" customFormat="1">
      <c r="A278" s="510"/>
      <c r="B278" s="522"/>
      <c r="C278" s="418"/>
      <c r="D278" s="418"/>
      <c r="E278" s="418"/>
      <c r="F278" s="418"/>
      <c r="G278" s="418"/>
      <c r="H278" s="418"/>
      <c r="I278" s="503"/>
      <c r="K278" s="244"/>
      <c r="L278" s="244"/>
      <c r="M278" s="244"/>
      <c r="N278" s="244"/>
      <c r="O278" s="244"/>
      <c r="P278" s="244"/>
      <c r="Q278" s="244"/>
      <c r="R278" s="244"/>
      <c r="S278" s="244"/>
      <c r="T278" s="244"/>
    </row>
    <row r="279" spans="1:20" s="493" customFormat="1">
      <c r="A279" s="510"/>
      <c r="B279" s="522"/>
      <c r="C279" s="418"/>
      <c r="D279" s="418"/>
      <c r="E279" s="418"/>
      <c r="F279" s="418"/>
      <c r="G279" s="418"/>
      <c r="H279" s="418"/>
      <c r="I279" s="503"/>
      <c r="K279" s="244"/>
      <c r="L279" s="244"/>
      <c r="M279" s="244"/>
      <c r="N279" s="244"/>
      <c r="O279" s="244"/>
      <c r="P279" s="244"/>
      <c r="Q279" s="244"/>
      <c r="R279" s="244"/>
      <c r="S279" s="244"/>
      <c r="T279" s="244"/>
    </row>
    <row r="280" spans="1:20" s="386" customFormat="1">
      <c r="A280" s="510"/>
      <c r="B280" s="522"/>
      <c r="C280" s="418"/>
      <c r="D280" s="418"/>
      <c r="E280" s="418"/>
      <c r="F280" s="418"/>
      <c r="G280" s="418"/>
      <c r="H280" s="418"/>
      <c r="I280" s="503"/>
      <c r="K280" s="244"/>
      <c r="L280" s="244"/>
      <c r="M280" s="244"/>
      <c r="N280" s="244"/>
      <c r="O280" s="244"/>
      <c r="P280" s="244"/>
      <c r="Q280" s="244"/>
      <c r="R280" s="244"/>
      <c r="S280" s="244"/>
      <c r="T280" s="244"/>
    </row>
    <row r="281" spans="1:20">
      <c r="A281" s="510"/>
      <c r="B281" s="523"/>
      <c r="C281" s="418"/>
      <c r="D281" s="561"/>
      <c r="E281" s="561"/>
      <c r="F281" s="420"/>
      <c r="G281" s="421"/>
      <c r="H281" s="422"/>
      <c r="I281" s="504"/>
      <c r="K281" s="63"/>
      <c r="L281" s="63"/>
      <c r="M281" s="63"/>
      <c r="N281" s="63"/>
      <c r="O281" s="63"/>
      <c r="P281" s="63"/>
      <c r="Q281" s="63"/>
      <c r="R281" s="63"/>
      <c r="S281" s="63"/>
      <c r="T281" s="63"/>
    </row>
    <row r="282" spans="1:20">
      <c r="A282" s="510"/>
      <c r="B282" s="560" t="s">
        <v>1120</v>
      </c>
      <c r="C282" s="561"/>
      <c r="D282" s="561"/>
      <c r="E282" s="561"/>
      <c r="F282" s="561"/>
      <c r="G282" s="561"/>
      <c r="H282" s="561"/>
      <c r="I282" s="562"/>
      <c r="K282" s="63"/>
      <c r="L282" s="63"/>
      <c r="M282" s="63"/>
      <c r="N282" s="63"/>
      <c r="O282" s="63"/>
      <c r="P282" s="63"/>
      <c r="Q282" s="63"/>
      <c r="R282" s="63"/>
      <c r="S282" s="63"/>
      <c r="T282" s="63"/>
    </row>
    <row r="283" spans="1:20">
      <c r="A283" s="510"/>
      <c r="B283" s="560" t="s">
        <v>106</v>
      </c>
      <c r="C283" s="561"/>
      <c r="D283" s="561"/>
      <c r="E283" s="561"/>
      <c r="F283" s="561"/>
      <c r="G283" s="561"/>
      <c r="H283" s="561"/>
      <c r="I283" s="562"/>
      <c r="K283" s="63"/>
      <c r="L283" s="63"/>
      <c r="M283" s="63"/>
      <c r="N283" s="63"/>
      <c r="O283" s="63"/>
      <c r="P283" s="63"/>
      <c r="Q283" s="63"/>
      <c r="R283" s="63"/>
      <c r="S283" s="63"/>
      <c r="T283" s="63"/>
    </row>
    <row r="284" spans="1:20">
      <c r="A284" s="510"/>
      <c r="B284" s="563" t="s">
        <v>1121</v>
      </c>
      <c r="C284" s="564"/>
      <c r="D284" s="564"/>
      <c r="E284" s="564"/>
      <c r="F284" s="564"/>
      <c r="G284" s="564"/>
      <c r="H284" s="564"/>
      <c r="I284" s="565"/>
      <c r="K284" s="63"/>
      <c r="L284" s="63"/>
      <c r="M284" s="63"/>
      <c r="N284" s="63"/>
      <c r="O284" s="63"/>
      <c r="P284" s="63"/>
      <c r="Q284" s="63"/>
      <c r="R284" s="63"/>
      <c r="S284" s="63"/>
      <c r="T284" s="63"/>
    </row>
    <row r="286" spans="1:20">
      <c r="B286" s="356"/>
      <c r="C286" s="356"/>
      <c r="D286" s="356"/>
      <c r="E286" s="356"/>
    </row>
    <row r="287" spans="1:20">
      <c r="B287" s="356"/>
      <c r="C287" s="356"/>
      <c r="D287" s="356"/>
      <c r="E287" s="356"/>
    </row>
    <row r="288" spans="1:20">
      <c r="B288" s="356"/>
      <c r="C288" s="356"/>
      <c r="D288" s="356"/>
      <c r="E288" s="356"/>
    </row>
    <row r="289" spans="2:8">
      <c r="B289" s="356"/>
      <c r="C289" s="356"/>
      <c r="D289" s="356"/>
      <c r="E289" s="356"/>
    </row>
    <row r="290" spans="2:8">
      <c r="B290" s="356"/>
      <c r="C290" s="356"/>
      <c r="D290" s="356"/>
      <c r="E290" s="356"/>
      <c r="H290" s="493" t="s">
        <v>1024</v>
      </c>
    </row>
    <row r="293" spans="2:8">
      <c r="B293" s="258"/>
      <c r="C293" s="258"/>
      <c r="D293" s="258"/>
      <c r="E293" s="258"/>
      <c r="F293" s="258"/>
      <c r="G293" s="258"/>
      <c r="H293" s="258"/>
    </row>
    <row r="294" spans="2:8">
      <c r="B294" s="258"/>
      <c r="C294" s="258"/>
      <c r="D294" s="258"/>
      <c r="E294" s="258"/>
      <c r="F294" s="258"/>
      <c r="G294" s="258"/>
      <c r="H294" s="258"/>
    </row>
    <row r="295" spans="2:8">
      <c r="B295" s="258"/>
      <c r="C295" s="258"/>
      <c r="D295" s="258"/>
      <c r="E295" s="258"/>
      <c r="F295" s="258"/>
      <c r="G295" s="258"/>
      <c r="H295" s="258"/>
    </row>
    <row r="296" spans="2:8">
      <c r="B296" s="258"/>
      <c r="C296" s="258"/>
      <c r="D296" s="258"/>
      <c r="E296" s="258"/>
      <c r="F296" s="258"/>
      <c r="G296" s="258"/>
      <c r="H296" s="258"/>
    </row>
    <row r="297" spans="2:8">
      <c r="B297" s="258"/>
      <c r="C297" s="258"/>
      <c r="D297" s="258"/>
      <c r="E297" s="258"/>
      <c r="F297" s="258"/>
      <c r="G297" s="258"/>
      <c r="H297" s="258"/>
    </row>
    <row r="298" spans="2:8">
      <c r="B298" s="258"/>
      <c r="C298" s="258"/>
      <c r="D298" s="258"/>
      <c r="E298" s="258"/>
      <c r="F298" s="258"/>
      <c r="G298" s="258"/>
      <c r="H298" s="258"/>
    </row>
  </sheetData>
  <mergeCells count="13">
    <mergeCell ref="B282:I282"/>
    <mergeCell ref="B284:I284"/>
    <mergeCell ref="B283:I283"/>
    <mergeCell ref="B5:C5"/>
    <mergeCell ref="M11:N11"/>
    <mergeCell ref="K8:L8"/>
    <mergeCell ref="M8:N8"/>
    <mergeCell ref="D281:E281"/>
    <mergeCell ref="K6:T6"/>
    <mergeCell ref="S8:T8"/>
    <mergeCell ref="Q8:R8"/>
    <mergeCell ref="O8:P8"/>
    <mergeCell ref="B276:G276"/>
  </mergeCells>
  <pageMargins left="0.7" right="0.7" top="0.75" bottom="0.75" header="0.3" footer="0.3"/>
  <pageSetup paperSize="9" scale="89" fitToHeight="0" orientation="landscape" r:id="rId1"/>
  <drawing r:id="rId2"/>
  <legacyDrawing r:id="rId3"/>
</worksheet>
</file>

<file path=xl/worksheets/sheet2.xml><?xml version="1.0" encoding="utf-8"?>
<worksheet xmlns="http://schemas.openxmlformats.org/spreadsheetml/2006/main" xmlns:r="http://schemas.openxmlformats.org/officeDocument/2006/relationships">
  <dimension ref="A1:AL317"/>
  <sheetViews>
    <sheetView topLeftCell="A208" zoomScale="90" zoomScaleNormal="90" workbookViewId="0">
      <selection activeCell="C289" sqref="C289"/>
    </sheetView>
  </sheetViews>
  <sheetFormatPr defaultRowHeight="15"/>
  <cols>
    <col min="1" max="1" width="6.42578125" customWidth="1"/>
    <col min="2" max="2" width="34.28515625" customWidth="1"/>
    <col min="3" max="3" width="23" customWidth="1"/>
    <col min="4" max="4" width="32.5703125" customWidth="1"/>
    <col min="5" max="5" width="19.85546875" customWidth="1"/>
    <col min="6" max="6" width="24.42578125" bestFit="1" customWidth="1"/>
    <col min="7" max="7" width="15.42578125" customWidth="1"/>
    <col min="8" max="8" width="21.85546875" bestFit="1" customWidth="1"/>
    <col min="9" max="9" width="30.28515625" bestFit="1" customWidth="1"/>
    <col min="10" max="10" width="22.85546875" bestFit="1" customWidth="1"/>
    <col min="11" max="11" width="15.42578125" customWidth="1"/>
    <col min="12" max="12" width="20.140625" customWidth="1"/>
    <col min="13" max="13" width="17.42578125" customWidth="1"/>
    <col min="14" max="14" width="22.140625" customWidth="1"/>
    <col min="15" max="15" width="13.42578125" bestFit="1" customWidth="1"/>
    <col min="17" max="17" width="20.28515625" customWidth="1"/>
    <col min="18" max="18" width="13" bestFit="1" customWidth="1"/>
    <col min="19" max="19" width="10.7109375" bestFit="1" customWidth="1"/>
    <col min="20" max="20" width="16.42578125" bestFit="1" customWidth="1"/>
    <col min="21" max="21" width="20.28515625" bestFit="1" customWidth="1"/>
    <col min="22" max="22" width="13" bestFit="1" customWidth="1"/>
    <col min="23" max="23" width="10.7109375" bestFit="1" customWidth="1"/>
    <col min="24" max="24" width="10.42578125" bestFit="1" customWidth="1"/>
    <col min="26" max="26" width="4.140625" customWidth="1"/>
    <col min="28" max="28" width="24.5703125" bestFit="1" customWidth="1"/>
    <col min="29" max="29" width="15.140625" customWidth="1"/>
    <col min="31" max="31" width="24.5703125" bestFit="1" customWidth="1"/>
    <col min="32" max="32" width="24.5703125" style="213" customWidth="1"/>
    <col min="33" max="33" width="12.5703125" customWidth="1"/>
    <col min="34" max="34" width="24.85546875" style="213" customWidth="1"/>
    <col min="35" max="35" width="12.85546875" customWidth="1"/>
    <col min="36" max="36" width="12.7109375" customWidth="1"/>
  </cols>
  <sheetData>
    <row r="1" spans="2:26" ht="15.75" customHeight="1" thickBot="1"/>
    <row r="2" spans="2:26" ht="15" customHeight="1" thickBot="1">
      <c r="B2" s="634" t="s">
        <v>128</v>
      </c>
      <c r="C2" s="635"/>
      <c r="D2" s="635"/>
      <c r="E2" s="635"/>
      <c r="F2" s="635"/>
      <c r="G2" s="635"/>
      <c r="H2" s="635"/>
      <c r="I2" s="635"/>
      <c r="J2" s="635"/>
      <c r="K2" s="635"/>
      <c r="L2" s="635"/>
      <c r="M2" s="635"/>
      <c r="N2" s="635"/>
      <c r="O2" s="635"/>
      <c r="P2" s="635"/>
      <c r="Q2" s="635"/>
      <c r="R2" s="635"/>
      <c r="S2" s="635"/>
      <c r="T2" s="635"/>
      <c r="U2" s="636"/>
      <c r="V2" s="52"/>
      <c r="W2" s="52"/>
      <c r="X2" s="52"/>
      <c r="Y2" s="52"/>
      <c r="Z2" s="52"/>
    </row>
    <row r="3" spans="2:26" ht="15.75" thickBot="1">
      <c r="C3" s="15"/>
      <c r="D3" s="15"/>
      <c r="E3" s="15"/>
      <c r="F3" s="15"/>
      <c r="G3" s="15"/>
      <c r="P3" s="231"/>
      <c r="Q3" s="231"/>
      <c r="R3" s="231"/>
      <c r="S3" s="231"/>
      <c r="T3" s="235"/>
      <c r="U3" s="235"/>
      <c r="V3" s="235"/>
    </row>
    <row r="4" spans="2:26" ht="15" customHeight="1" thickBot="1">
      <c r="C4" s="15"/>
      <c r="D4" s="15"/>
      <c r="E4" s="15"/>
      <c r="F4" s="15"/>
      <c r="G4" s="15"/>
      <c r="P4" s="599" t="s">
        <v>137</v>
      </c>
      <c r="Q4" s="600"/>
      <c r="R4" s="600"/>
      <c r="S4" s="601"/>
      <c r="T4" s="235"/>
      <c r="U4" s="235"/>
      <c r="V4" s="235"/>
    </row>
    <row r="5" spans="2:26">
      <c r="B5" s="77" t="s">
        <v>284</v>
      </c>
      <c r="C5" s="16"/>
      <c r="D5" s="16"/>
      <c r="E5" s="16"/>
      <c r="F5" s="16"/>
      <c r="G5" s="16"/>
      <c r="P5" s="232" t="s">
        <v>117</v>
      </c>
      <c r="Q5" s="232" t="s">
        <v>110</v>
      </c>
      <c r="R5" s="232" t="s">
        <v>111</v>
      </c>
      <c r="S5" s="232" t="s">
        <v>114</v>
      </c>
      <c r="T5" s="235"/>
      <c r="U5" s="235"/>
      <c r="V5" s="235"/>
      <c r="W5" s="235"/>
      <c r="X5" s="235"/>
    </row>
    <row r="6" spans="2:26" ht="15" customHeight="1">
      <c r="B6" s="574" t="s">
        <v>132</v>
      </c>
      <c r="C6" s="574" t="s">
        <v>133</v>
      </c>
      <c r="D6" s="574" t="s">
        <v>376</v>
      </c>
      <c r="E6" s="574" t="s">
        <v>134</v>
      </c>
      <c r="F6" s="574" t="s">
        <v>135</v>
      </c>
      <c r="G6" s="574" t="s">
        <v>136</v>
      </c>
      <c r="I6" s="574" t="s">
        <v>132</v>
      </c>
      <c r="J6" s="574" t="s">
        <v>133</v>
      </c>
      <c r="K6" s="574" t="s">
        <v>376</v>
      </c>
      <c r="L6" s="574" t="s">
        <v>134</v>
      </c>
      <c r="M6" s="574" t="s">
        <v>135</v>
      </c>
      <c r="N6" s="574" t="s">
        <v>136</v>
      </c>
      <c r="P6" s="13" t="s">
        <v>109</v>
      </c>
      <c r="Q6" s="14">
        <v>0.8</v>
      </c>
      <c r="R6" s="14">
        <v>2.1</v>
      </c>
      <c r="S6" s="13">
        <f>Q6*R6</f>
        <v>1.6800000000000002</v>
      </c>
      <c r="T6" s="235"/>
      <c r="U6" s="235"/>
      <c r="V6" s="235"/>
      <c r="W6" s="235"/>
      <c r="X6" s="235"/>
    </row>
    <row r="7" spans="2:26">
      <c r="B7" s="575"/>
      <c r="C7" s="575"/>
      <c r="D7" s="575"/>
      <c r="E7" s="575"/>
      <c r="F7" s="575"/>
      <c r="G7" s="575"/>
      <c r="I7" s="575"/>
      <c r="J7" s="575"/>
      <c r="K7" s="575"/>
      <c r="L7" s="575"/>
      <c r="M7" s="575"/>
      <c r="N7" s="575"/>
      <c r="P7" s="13" t="s">
        <v>112</v>
      </c>
      <c r="Q7" s="14">
        <v>0.7</v>
      </c>
      <c r="R7" s="14">
        <v>2.1</v>
      </c>
      <c r="S7" s="13">
        <f t="shared" ref="S7:S20" si="0">Q7*R7</f>
        <v>1.47</v>
      </c>
      <c r="T7" s="235"/>
      <c r="U7" s="235"/>
      <c r="V7" s="235"/>
      <c r="W7" s="235"/>
      <c r="X7" s="235"/>
    </row>
    <row r="8" spans="2:26" ht="15" customHeight="1">
      <c r="B8" s="12" t="s">
        <v>130</v>
      </c>
      <c r="C8" s="17" t="s">
        <v>252</v>
      </c>
      <c r="D8" s="17">
        <v>2.5</v>
      </c>
      <c r="E8" s="17">
        <v>3.26</v>
      </c>
      <c r="F8" s="17">
        <f>S6+S13</f>
        <v>3</v>
      </c>
      <c r="G8" s="17">
        <f>(D8*E8)-F8</f>
        <v>5.1499999999999986</v>
      </c>
      <c r="I8" s="17" t="s">
        <v>281</v>
      </c>
      <c r="J8" s="281" t="s">
        <v>276</v>
      </c>
      <c r="K8" s="17">
        <v>3.4</v>
      </c>
      <c r="L8" s="17">
        <v>3.2</v>
      </c>
      <c r="M8" s="17">
        <v>0</v>
      </c>
      <c r="N8" s="17">
        <v>10.88</v>
      </c>
      <c r="P8" s="13" t="s">
        <v>113</v>
      </c>
      <c r="Q8" s="14">
        <v>0.8</v>
      </c>
      <c r="R8" s="14">
        <v>2.1</v>
      </c>
      <c r="S8" s="13">
        <f t="shared" si="0"/>
        <v>1.6800000000000002</v>
      </c>
      <c r="T8" s="235"/>
      <c r="U8" s="235"/>
      <c r="V8" s="235"/>
      <c r="W8" s="235"/>
      <c r="X8" s="235"/>
    </row>
    <row r="9" spans="2:26">
      <c r="B9" s="12" t="s">
        <v>130</v>
      </c>
      <c r="C9" s="17" t="s">
        <v>199</v>
      </c>
      <c r="D9" s="17">
        <v>3.35</v>
      </c>
      <c r="E9" s="17">
        <v>3.26</v>
      </c>
      <c r="F9" s="17">
        <f>S12</f>
        <v>1.7600000000000002</v>
      </c>
      <c r="G9" s="17">
        <f t="shared" ref="G9:G55" si="1">(D9*E9)-F9</f>
        <v>9.1609999999999996</v>
      </c>
      <c r="I9" s="17" t="s">
        <v>281</v>
      </c>
      <c r="J9" s="17" t="s">
        <v>277</v>
      </c>
      <c r="K9" s="17">
        <v>2.5499999999999998</v>
      </c>
      <c r="L9" s="17">
        <v>3.2</v>
      </c>
      <c r="M9" s="17">
        <v>1.9800000000000002</v>
      </c>
      <c r="N9" s="17">
        <v>6.18</v>
      </c>
      <c r="P9" s="13" t="s">
        <v>115</v>
      </c>
      <c r="Q9" s="14">
        <v>0.8</v>
      </c>
      <c r="R9" s="14">
        <v>2.1</v>
      </c>
      <c r="S9" s="13">
        <f t="shared" si="0"/>
        <v>1.6800000000000002</v>
      </c>
      <c r="T9" s="235"/>
      <c r="U9" s="235"/>
      <c r="V9" s="235"/>
      <c r="W9" s="235"/>
      <c r="X9" s="235"/>
    </row>
    <row r="10" spans="2:26">
      <c r="B10" s="12" t="s">
        <v>130</v>
      </c>
      <c r="C10" s="17" t="s">
        <v>200</v>
      </c>
      <c r="D10" s="17">
        <v>6.75</v>
      </c>
      <c r="E10" s="17">
        <v>3.26</v>
      </c>
      <c r="F10" s="17">
        <f>S11</f>
        <v>8.4</v>
      </c>
      <c r="G10" s="17">
        <f t="shared" si="1"/>
        <v>13.604999999999999</v>
      </c>
      <c r="I10" s="17" t="s">
        <v>281</v>
      </c>
      <c r="J10" s="281" t="s">
        <v>278</v>
      </c>
      <c r="K10" s="17">
        <v>2.7</v>
      </c>
      <c r="L10" s="17">
        <v>3.2</v>
      </c>
      <c r="M10" s="17">
        <v>0</v>
      </c>
      <c r="N10" s="17">
        <v>8.64</v>
      </c>
      <c r="P10" s="13" t="s">
        <v>116</v>
      </c>
      <c r="Q10" s="14">
        <v>0.8</v>
      </c>
      <c r="R10" s="14">
        <v>1.8</v>
      </c>
      <c r="S10" s="13">
        <f t="shared" si="0"/>
        <v>1.4400000000000002</v>
      </c>
      <c r="T10" s="235"/>
      <c r="U10" s="235"/>
      <c r="V10" s="235"/>
      <c r="W10" s="235"/>
      <c r="X10" s="235"/>
    </row>
    <row r="11" spans="2:26">
      <c r="B11" s="12" t="s">
        <v>130</v>
      </c>
      <c r="C11" s="17" t="s">
        <v>201</v>
      </c>
      <c r="D11" s="17">
        <v>3.3</v>
      </c>
      <c r="E11" s="17">
        <v>3.26</v>
      </c>
      <c r="F11" s="17">
        <f>4*S17</f>
        <v>1.2</v>
      </c>
      <c r="G11" s="17">
        <f t="shared" si="1"/>
        <v>9.5579999999999998</v>
      </c>
      <c r="I11" s="17" t="s">
        <v>281</v>
      </c>
      <c r="J11" s="17" t="s">
        <v>279</v>
      </c>
      <c r="K11" s="17">
        <v>2.6</v>
      </c>
      <c r="L11" s="17">
        <v>3.2</v>
      </c>
      <c r="M11" s="17">
        <v>1.9800000000000002</v>
      </c>
      <c r="N11" s="17">
        <v>6.34</v>
      </c>
      <c r="P11" s="13" t="s">
        <v>118</v>
      </c>
      <c r="Q11" s="14">
        <v>4</v>
      </c>
      <c r="R11" s="14">
        <v>2.1</v>
      </c>
      <c r="S11" s="13">
        <f t="shared" si="0"/>
        <v>8.4</v>
      </c>
      <c r="T11" s="235"/>
      <c r="U11" s="235"/>
      <c r="V11" s="235"/>
      <c r="W11" s="235"/>
      <c r="X11" s="235"/>
    </row>
    <row r="12" spans="2:26">
      <c r="B12" s="12" t="s">
        <v>130</v>
      </c>
      <c r="C12" s="17" t="s">
        <v>202</v>
      </c>
      <c r="D12" s="17">
        <v>6.95</v>
      </c>
      <c r="E12" s="17">
        <v>3.26</v>
      </c>
      <c r="F12" s="17">
        <f>S11</f>
        <v>8.4</v>
      </c>
      <c r="G12" s="17">
        <f t="shared" si="1"/>
        <v>14.257</v>
      </c>
      <c r="I12" s="17" t="s">
        <v>281</v>
      </c>
      <c r="J12" s="281" t="s">
        <v>280</v>
      </c>
      <c r="K12" s="17">
        <v>3.55</v>
      </c>
      <c r="L12" s="17">
        <v>3.2</v>
      </c>
      <c r="M12" s="17">
        <v>0</v>
      </c>
      <c r="N12" s="17">
        <v>11.36</v>
      </c>
      <c r="P12" s="13" t="s">
        <v>119</v>
      </c>
      <c r="Q12" s="14">
        <v>1.6</v>
      </c>
      <c r="R12" s="14">
        <v>1.1000000000000001</v>
      </c>
      <c r="S12" s="13">
        <f t="shared" si="0"/>
        <v>1.7600000000000002</v>
      </c>
      <c r="T12" s="235"/>
      <c r="U12" s="235"/>
      <c r="V12" s="235"/>
      <c r="W12" s="235"/>
      <c r="X12" s="235"/>
    </row>
    <row r="13" spans="2:26">
      <c r="B13" s="12" t="s">
        <v>130</v>
      </c>
      <c r="C13" s="17" t="s">
        <v>203</v>
      </c>
      <c r="D13" s="17">
        <v>5</v>
      </c>
      <c r="E13" s="17">
        <v>3.26</v>
      </c>
      <c r="F13" s="17">
        <f>S14</f>
        <v>3.3000000000000003</v>
      </c>
      <c r="G13" s="17">
        <f t="shared" si="1"/>
        <v>12.999999999999996</v>
      </c>
      <c r="I13" s="97" t="s">
        <v>152</v>
      </c>
      <c r="J13" s="13"/>
      <c r="K13" s="13"/>
      <c r="L13" s="124"/>
      <c r="M13" s="13" t="s">
        <v>749</v>
      </c>
      <c r="N13" s="13">
        <f>SUM(N8+N10+N12)</f>
        <v>30.880000000000003</v>
      </c>
      <c r="P13" s="13" t="s">
        <v>120</v>
      </c>
      <c r="Q13" s="14">
        <v>1.2</v>
      </c>
      <c r="R13" s="14">
        <v>1.1000000000000001</v>
      </c>
      <c r="S13" s="13">
        <f t="shared" si="0"/>
        <v>1.32</v>
      </c>
      <c r="T13" s="235"/>
      <c r="U13" s="235"/>
      <c r="V13" s="235"/>
      <c r="W13" s="235"/>
      <c r="X13" s="235"/>
    </row>
    <row r="14" spans="2:26">
      <c r="B14" s="12" t="s">
        <v>130</v>
      </c>
      <c r="C14" s="17" t="s">
        <v>204</v>
      </c>
      <c r="D14" s="17">
        <v>2.5</v>
      </c>
      <c r="E14" s="17">
        <v>3.26</v>
      </c>
      <c r="F14" s="17">
        <v>0</v>
      </c>
      <c r="G14" s="17">
        <f t="shared" si="1"/>
        <v>8.1499999999999986</v>
      </c>
      <c r="M14" s="13" t="s">
        <v>750</v>
      </c>
      <c r="N14" s="13">
        <f>SUM(N9+N11)</f>
        <v>12.52</v>
      </c>
      <c r="P14" s="13" t="s">
        <v>121</v>
      </c>
      <c r="Q14" s="14">
        <v>3</v>
      </c>
      <c r="R14" s="14">
        <v>1.1000000000000001</v>
      </c>
      <c r="S14" s="13">
        <f t="shared" si="0"/>
        <v>3.3000000000000003</v>
      </c>
      <c r="T14" s="235"/>
      <c r="U14" s="235"/>
      <c r="V14" s="235"/>
      <c r="W14" s="235"/>
      <c r="X14" s="235"/>
    </row>
    <row r="15" spans="2:26">
      <c r="B15" s="12" t="s">
        <v>130</v>
      </c>
      <c r="C15" s="17" t="s">
        <v>205</v>
      </c>
      <c r="D15" s="17">
        <v>3.25</v>
      </c>
      <c r="E15" s="17">
        <v>3.26</v>
      </c>
      <c r="F15" s="17">
        <f>S6</f>
        <v>1.6800000000000002</v>
      </c>
      <c r="G15" s="17">
        <f t="shared" si="1"/>
        <v>8.9149999999999991</v>
      </c>
      <c r="H15">
        <f>SUM(D14:D15)</f>
        <v>5.75</v>
      </c>
      <c r="P15" s="13" t="s">
        <v>122</v>
      </c>
      <c r="Q15" s="14">
        <v>4.2</v>
      </c>
      <c r="R15" s="14">
        <v>0.8</v>
      </c>
      <c r="S15" s="13">
        <f t="shared" si="0"/>
        <v>3.3600000000000003</v>
      </c>
      <c r="T15" s="235"/>
      <c r="U15" s="235"/>
      <c r="V15" s="235"/>
      <c r="W15" s="235"/>
      <c r="X15" s="235"/>
    </row>
    <row r="16" spans="2:26">
      <c r="B16" s="12" t="s">
        <v>130</v>
      </c>
      <c r="C16" s="17" t="s">
        <v>206</v>
      </c>
      <c r="D16" s="17">
        <v>2.5</v>
      </c>
      <c r="E16" s="17">
        <v>3.26</v>
      </c>
      <c r="F16" s="17">
        <f>S6+S13</f>
        <v>3</v>
      </c>
      <c r="G16" s="17">
        <f t="shared" si="1"/>
        <v>5.1499999999999986</v>
      </c>
      <c r="H16">
        <f>SUM(D16:D19)</f>
        <v>16.05</v>
      </c>
      <c r="P16" s="13" t="s">
        <v>123</v>
      </c>
      <c r="Q16" s="14">
        <v>1.8</v>
      </c>
      <c r="R16" s="14">
        <v>1.1000000000000001</v>
      </c>
      <c r="S16" s="13">
        <f t="shared" si="0"/>
        <v>1.9800000000000002</v>
      </c>
      <c r="T16" s="235"/>
      <c r="U16" s="235"/>
      <c r="V16" s="235"/>
      <c r="W16" s="235"/>
      <c r="X16" s="235"/>
    </row>
    <row r="17" spans="2:21">
      <c r="B17" s="12" t="s">
        <v>130</v>
      </c>
      <c r="C17" s="17" t="s">
        <v>207</v>
      </c>
      <c r="D17" s="17">
        <v>3.3</v>
      </c>
      <c r="E17" s="17">
        <v>3.26</v>
      </c>
      <c r="F17" s="17">
        <f>S6+S12</f>
        <v>3.4400000000000004</v>
      </c>
      <c r="G17" s="17">
        <f t="shared" si="1"/>
        <v>7.3179999999999987</v>
      </c>
      <c r="H17">
        <f>D20</f>
        <v>7</v>
      </c>
      <c r="P17" s="13" t="s">
        <v>124</v>
      </c>
      <c r="Q17" s="14">
        <v>0.6</v>
      </c>
      <c r="R17" s="14">
        <v>0.5</v>
      </c>
      <c r="S17" s="13">
        <f t="shared" si="0"/>
        <v>0.3</v>
      </c>
      <c r="T17" s="233"/>
      <c r="U17" s="233"/>
    </row>
    <row r="18" spans="2:21">
      <c r="B18" s="12" t="s">
        <v>130</v>
      </c>
      <c r="C18" s="17" t="s">
        <v>208</v>
      </c>
      <c r="D18" s="17">
        <v>6.95</v>
      </c>
      <c r="E18" s="17">
        <v>3.26</v>
      </c>
      <c r="F18" s="17">
        <f>S17+S15+S6</f>
        <v>5.34</v>
      </c>
      <c r="G18" s="17">
        <f t="shared" si="1"/>
        <v>17.317</v>
      </c>
      <c r="H18">
        <f>SUM(D21:D22)</f>
        <v>4.8</v>
      </c>
      <c r="P18" s="13" t="s">
        <v>125</v>
      </c>
      <c r="Q18" s="14">
        <v>0.4</v>
      </c>
      <c r="R18" s="14">
        <v>0.5</v>
      </c>
      <c r="S18" s="13">
        <f t="shared" si="0"/>
        <v>0.2</v>
      </c>
      <c r="T18" s="233"/>
      <c r="U18" s="233"/>
    </row>
    <row r="19" spans="2:21">
      <c r="B19" s="12" t="s">
        <v>130</v>
      </c>
      <c r="C19" s="17" t="s">
        <v>209</v>
      </c>
      <c r="D19" s="17">
        <v>3.3</v>
      </c>
      <c r="E19" s="17">
        <v>3.26</v>
      </c>
      <c r="F19" s="17">
        <f>S8+S18+S17</f>
        <v>2.1800000000000002</v>
      </c>
      <c r="G19" s="17">
        <f t="shared" si="1"/>
        <v>8.5779999999999994</v>
      </c>
      <c r="P19" s="13" t="s">
        <v>126</v>
      </c>
      <c r="Q19" s="14">
        <v>2</v>
      </c>
      <c r="R19" s="14">
        <v>1.1000000000000001</v>
      </c>
      <c r="S19" s="13">
        <f t="shared" si="0"/>
        <v>2.2000000000000002</v>
      </c>
      <c r="T19" s="233"/>
      <c r="U19" s="233"/>
    </row>
    <row r="20" spans="2:21">
      <c r="B20" s="12" t="s">
        <v>130</v>
      </c>
      <c r="C20" s="17" t="s">
        <v>210</v>
      </c>
      <c r="D20" s="17">
        <v>7</v>
      </c>
      <c r="E20" s="17">
        <v>3.26</v>
      </c>
      <c r="F20" s="17">
        <f>S6+S15</f>
        <v>5.0400000000000009</v>
      </c>
      <c r="G20" s="17">
        <f t="shared" si="1"/>
        <v>17.78</v>
      </c>
      <c r="P20" s="13" t="s">
        <v>127</v>
      </c>
      <c r="Q20" s="14">
        <v>0.6</v>
      </c>
      <c r="R20" s="14">
        <v>1.1000000000000001</v>
      </c>
      <c r="S20" s="13">
        <f t="shared" si="0"/>
        <v>0.66</v>
      </c>
      <c r="T20" s="233"/>
      <c r="U20" s="233"/>
    </row>
    <row r="21" spans="2:21">
      <c r="B21" s="12" t="s">
        <v>130</v>
      </c>
      <c r="C21" s="17" t="s">
        <v>211</v>
      </c>
      <c r="D21" s="17">
        <v>1.3</v>
      </c>
      <c r="E21" s="17">
        <v>3.26</v>
      </c>
      <c r="F21" s="17">
        <f>S6</f>
        <v>1.6800000000000002</v>
      </c>
      <c r="G21" s="17">
        <f t="shared" si="1"/>
        <v>2.5579999999999994</v>
      </c>
      <c r="P21" s="13" t="s">
        <v>575</v>
      </c>
      <c r="Q21" s="14">
        <v>0.8</v>
      </c>
      <c r="R21" s="14">
        <v>2.1</v>
      </c>
      <c r="S21" s="13">
        <f>Q21*R21</f>
        <v>1.6800000000000002</v>
      </c>
    </row>
    <row r="22" spans="2:21">
      <c r="B22" s="12" t="s">
        <v>130</v>
      </c>
      <c r="C22" s="17" t="s">
        <v>212</v>
      </c>
      <c r="D22" s="17">
        <v>3.5</v>
      </c>
      <c r="E22" s="17">
        <v>3.26</v>
      </c>
      <c r="F22" s="17">
        <v>0</v>
      </c>
      <c r="G22" s="17">
        <f t="shared" si="1"/>
        <v>11.41</v>
      </c>
    </row>
    <row r="23" spans="2:21">
      <c r="B23" s="12" t="s">
        <v>130</v>
      </c>
      <c r="C23" s="17" t="s">
        <v>213</v>
      </c>
      <c r="D23" s="17">
        <v>3.5</v>
      </c>
      <c r="E23" s="17">
        <v>3.26</v>
      </c>
      <c r="F23" s="17">
        <f>S9</f>
        <v>1.6800000000000002</v>
      </c>
      <c r="G23" s="17">
        <f t="shared" si="1"/>
        <v>9.73</v>
      </c>
    </row>
    <row r="24" spans="2:21">
      <c r="B24" s="12" t="s">
        <v>130</v>
      </c>
      <c r="C24" s="17" t="s">
        <v>214</v>
      </c>
      <c r="D24" s="17">
        <v>3.5</v>
      </c>
      <c r="E24" s="17">
        <v>3.26</v>
      </c>
      <c r="F24" s="17">
        <v>0</v>
      </c>
      <c r="G24" s="17">
        <f t="shared" si="1"/>
        <v>11.41</v>
      </c>
    </row>
    <row r="25" spans="2:21">
      <c r="B25" s="12" t="s">
        <v>130</v>
      </c>
      <c r="C25" s="17" t="s">
        <v>215</v>
      </c>
      <c r="D25" s="17">
        <v>3.5</v>
      </c>
      <c r="E25" s="17">
        <v>3.26</v>
      </c>
      <c r="F25" s="17">
        <v>0</v>
      </c>
      <c r="G25" s="17">
        <f t="shared" si="1"/>
        <v>11.41</v>
      </c>
    </row>
    <row r="26" spans="2:21">
      <c r="B26" s="12" t="s">
        <v>130</v>
      </c>
      <c r="C26" s="17" t="s">
        <v>216</v>
      </c>
      <c r="D26" s="17">
        <v>3.5</v>
      </c>
      <c r="E26" s="17">
        <v>3.26</v>
      </c>
      <c r="F26" s="17">
        <f>S16</f>
        <v>1.9800000000000002</v>
      </c>
      <c r="G26" s="17">
        <f t="shared" si="1"/>
        <v>9.43</v>
      </c>
    </row>
    <row r="27" spans="2:21">
      <c r="B27" s="12" t="s">
        <v>130</v>
      </c>
      <c r="C27" s="17" t="s">
        <v>217</v>
      </c>
      <c r="D27" s="17">
        <v>2.4500000000000002</v>
      </c>
      <c r="E27" s="17">
        <v>3.26</v>
      </c>
      <c r="F27" s="17">
        <f>S12</f>
        <v>1.7600000000000002</v>
      </c>
      <c r="G27" s="17">
        <f t="shared" si="1"/>
        <v>6.2270000000000003</v>
      </c>
    </row>
    <row r="28" spans="2:21">
      <c r="B28" s="12" t="s">
        <v>130</v>
      </c>
      <c r="C28" s="17" t="s">
        <v>218</v>
      </c>
      <c r="D28" s="582" t="s">
        <v>636</v>
      </c>
      <c r="E28" s="583"/>
      <c r="F28" s="583"/>
      <c r="G28" s="584"/>
    </row>
    <row r="29" spans="2:21">
      <c r="B29" s="12" t="s">
        <v>130</v>
      </c>
      <c r="C29" s="17" t="s">
        <v>219</v>
      </c>
      <c r="D29" s="17">
        <v>2.5</v>
      </c>
      <c r="E29" s="17">
        <v>3.26</v>
      </c>
      <c r="F29" s="17">
        <v>0</v>
      </c>
      <c r="G29" s="17">
        <f t="shared" si="1"/>
        <v>8.1499999999999986</v>
      </c>
    </row>
    <row r="30" spans="2:21">
      <c r="B30" s="12" t="s">
        <v>130</v>
      </c>
      <c r="C30" s="17" t="s">
        <v>220</v>
      </c>
      <c r="D30" s="17">
        <v>5.8</v>
      </c>
      <c r="E30" s="17">
        <v>3.26</v>
      </c>
      <c r="F30" s="17">
        <f>S9+S19</f>
        <v>3.8800000000000003</v>
      </c>
      <c r="G30" s="17">
        <f t="shared" si="1"/>
        <v>15.027999999999997</v>
      </c>
    </row>
    <row r="31" spans="2:21">
      <c r="B31" s="12" t="s">
        <v>130</v>
      </c>
      <c r="C31" s="17" t="s">
        <v>221</v>
      </c>
      <c r="D31" s="17">
        <v>6</v>
      </c>
      <c r="E31" s="17">
        <v>3.26</v>
      </c>
      <c r="F31" s="17">
        <v>0</v>
      </c>
      <c r="G31" s="17">
        <f t="shared" si="1"/>
        <v>19.559999999999999</v>
      </c>
    </row>
    <row r="32" spans="2:21">
      <c r="B32" s="12" t="s">
        <v>130</v>
      </c>
      <c r="C32" s="17" t="s">
        <v>222</v>
      </c>
      <c r="D32" s="17">
        <v>5.8</v>
      </c>
      <c r="E32" s="17">
        <v>3.26</v>
      </c>
      <c r="F32" s="17">
        <f>S9+S19</f>
        <v>3.8800000000000003</v>
      </c>
      <c r="G32" s="17">
        <f t="shared" si="1"/>
        <v>15.027999999999997</v>
      </c>
    </row>
    <row r="33" spans="2:7">
      <c r="B33" s="12" t="s">
        <v>130</v>
      </c>
      <c r="C33" s="17" t="s">
        <v>223</v>
      </c>
      <c r="D33" s="17">
        <v>5.9</v>
      </c>
      <c r="E33" s="17">
        <v>3.26</v>
      </c>
      <c r="F33" s="17">
        <v>0</v>
      </c>
      <c r="G33" s="17">
        <f t="shared" si="1"/>
        <v>19.233999999999998</v>
      </c>
    </row>
    <row r="34" spans="2:7">
      <c r="B34" s="12" t="s">
        <v>130</v>
      </c>
      <c r="C34" s="17" t="s">
        <v>224</v>
      </c>
      <c r="D34" s="17">
        <v>6</v>
      </c>
      <c r="E34" s="17">
        <v>3.26</v>
      </c>
      <c r="F34" s="17">
        <f>S14</f>
        <v>3.3000000000000003</v>
      </c>
      <c r="G34" s="17">
        <f t="shared" si="1"/>
        <v>16.259999999999998</v>
      </c>
    </row>
    <row r="35" spans="2:7">
      <c r="B35" s="12" t="s">
        <v>130</v>
      </c>
      <c r="C35" s="17" t="s">
        <v>225</v>
      </c>
      <c r="D35" s="17">
        <v>3.25</v>
      </c>
      <c r="E35" s="17">
        <v>3.26</v>
      </c>
      <c r="F35" s="17">
        <f>S12</f>
        <v>1.7600000000000002</v>
      </c>
      <c r="G35" s="17">
        <f t="shared" si="1"/>
        <v>8.8349999999999991</v>
      </c>
    </row>
    <row r="36" spans="2:7">
      <c r="B36" s="12" t="s">
        <v>130</v>
      </c>
      <c r="C36" s="17" t="s">
        <v>226</v>
      </c>
      <c r="D36" s="17">
        <v>3.25</v>
      </c>
      <c r="E36" s="17">
        <v>3.26</v>
      </c>
      <c r="F36" s="17">
        <v>0</v>
      </c>
      <c r="G36" s="17">
        <f t="shared" si="1"/>
        <v>10.594999999999999</v>
      </c>
    </row>
    <row r="37" spans="2:7">
      <c r="B37" s="12" t="s">
        <v>130</v>
      </c>
      <c r="C37" s="17" t="s">
        <v>227</v>
      </c>
      <c r="D37" s="17">
        <v>3.25</v>
      </c>
      <c r="E37" s="17">
        <v>3.26</v>
      </c>
      <c r="F37" s="17">
        <f>S7</f>
        <v>1.47</v>
      </c>
      <c r="G37" s="17">
        <f t="shared" si="1"/>
        <v>9.1249999999999982</v>
      </c>
    </row>
    <row r="38" spans="2:7">
      <c r="B38" s="12" t="s">
        <v>130</v>
      </c>
      <c r="C38" s="17" t="s">
        <v>228</v>
      </c>
      <c r="D38" s="17">
        <v>1</v>
      </c>
      <c r="E38" s="17">
        <v>3.26</v>
      </c>
      <c r="F38" s="17">
        <v>0</v>
      </c>
      <c r="G38" s="17">
        <f t="shared" si="1"/>
        <v>3.26</v>
      </c>
    </row>
    <row r="39" spans="2:7">
      <c r="B39" s="12" t="s">
        <v>130</v>
      </c>
      <c r="C39" s="17" t="s">
        <v>229</v>
      </c>
      <c r="D39" s="17">
        <v>2.15</v>
      </c>
      <c r="E39" s="17">
        <v>3.26</v>
      </c>
      <c r="F39" s="17">
        <v>0</v>
      </c>
      <c r="G39" s="17">
        <f t="shared" si="1"/>
        <v>7.0089999999999995</v>
      </c>
    </row>
    <row r="40" spans="2:7">
      <c r="B40" s="12" t="s">
        <v>130</v>
      </c>
      <c r="C40" s="17" t="s">
        <v>230</v>
      </c>
      <c r="D40" s="17">
        <v>1.55</v>
      </c>
      <c r="E40" s="17">
        <v>3.26</v>
      </c>
      <c r="F40" s="17">
        <v>0</v>
      </c>
      <c r="G40" s="17">
        <f t="shared" si="1"/>
        <v>5.0529999999999999</v>
      </c>
    </row>
    <row r="41" spans="2:7">
      <c r="B41" s="12" t="s">
        <v>130</v>
      </c>
      <c r="C41" s="17" t="s">
        <v>231</v>
      </c>
      <c r="D41" s="17">
        <v>6.4</v>
      </c>
      <c r="E41" s="17">
        <v>3.26</v>
      </c>
      <c r="F41" s="17">
        <f>(1.5*1.1)+S6</f>
        <v>3.33</v>
      </c>
      <c r="G41" s="17">
        <f t="shared" si="1"/>
        <v>17.533999999999999</v>
      </c>
    </row>
    <row r="42" spans="2:7">
      <c r="B42" s="12" t="s">
        <v>130</v>
      </c>
      <c r="C42" s="17" t="s">
        <v>232</v>
      </c>
      <c r="D42" s="17">
        <v>6.35</v>
      </c>
      <c r="E42" s="17">
        <v>3.26</v>
      </c>
      <c r="F42" s="17">
        <f>S16+(0.53*1.13)</f>
        <v>2.5789</v>
      </c>
      <c r="G42" s="17">
        <f t="shared" si="1"/>
        <v>18.122099999999996</v>
      </c>
    </row>
    <row r="43" spans="2:7">
      <c r="B43" s="12" t="s">
        <v>130</v>
      </c>
      <c r="C43" s="17" t="s">
        <v>233</v>
      </c>
      <c r="D43" s="17">
        <v>1.95</v>
      </c>
      <c r="E43" s="17">
        <v>3.26</v>
      </c>
      <c r="F43" s="17">
        <f>S20+S6</f>
        <v>2.3400000000000003</v>
      </c>
      <c r="G43" s="17">
        <f t="shared" si="1"/>
        <v>4.0169999999999995</v>
      </c>
    </row>
    <row r="44" spans="2:7">
      <c r="B44" s="12" t="s">
        <v>130</v>
      </c>
      <c r="C44" s="17" t="s">
        <v>234</v>
      </c>
      <c r="D44" s="17">
        <v>2</v>
      </c>
      <c r="E44" s="17">
        <v>3.26</v>
      </c>
      <c r="F44" s="17">
        <f>S17</f>
        <v>0.3</v>
      </c>
      <c r="G44" s="17">
        <f t="shared" si="1"/>
        <v>6.22</v>
      </c>
    </row>
    <row r="45" spans="2:7">
      <c r="B45" s="12" t="s">
        <v>130</v>
      </c>
      <c r="C45" s="17" t="s">
        <v>235</v>
      </c>
      <c r="D45" s="17">
        <v>3</v>
      </c>
      <c r="E45" s="17">
        <v>3.26</v>
      </c>
      <c r="F45" s="17">
        <f>2*S6</f>
        <v>3.3600000000000003</v>
      </c>
      <c r="G45" s="17">
        <f t="shared" si="1"/>
        <v>6.419999999999999</v>
      </c>
    </row>
    <row r="46" spans="2:7">
      <c r="B46" s="12" t="s">
        <v>130</v>
      </c>
      <c r="C46" s="17" t="s">
        <v>236</v>
      </c>
      <c r="D46" s="17">
        <v>3.05</v>
      </c>
      <c r="E46" s="17">
        <v>3.26</v>
      </c>
      <c r="F46" s="17">
        <f>2*S17</f>
        <v>0.6</v>
      </c>
      <c r="G46" s="17">
        <f t="shared" si="1"/>
        <v>9.343</v>
      </c>
    </row>
    <row r="47" spans="2:7">
      <c r="B47" s="12" t="s">
        <v>129</v>
      </c>
      <c r="C47" s="17" t="s">
        <v>253</v>
      </c>
      <c r="D47" s="17">
        <v>3.2</v>
      </c>
      <c r="E47" s="293">
        <f>3.8+(0.4)</f>
        <v>4.2</v>
      </c>
      <c r="F47" s="17">
        <v>0</v>
      </c>
      <c r="G47" s="17">
        <f t="shared" si="1"/>
        <v>13.440000000000001</v>
      </c>
    </row>
    <row r="48" spans="2:7">
      <c r="B48" s="12" t="s">
        <v>129</v>
      </c>
      <c r="C48" s="17" t="s">
        <v>254</v>
      </c>
      <c r="D48" s="13">
        <v>3.2</v>
      </c>
      <c r="E48" s="293">
        <f>3.8+(0.4)</f>
        <v>4.2</v>
      </c>
      <c r="F48" s="13">
        <v>0</v>
      </c>
      <c r="G48" s="17">
        <f t="shared" si="1"/>
        <v>13.440000000000001</v>
      </c>
    </row>
    <row r="49" spans="2:38">
      <c r="B49" s="12" t="s">
        <v>129</v>
      </c>
      <c r="C49" s="17" t="s">
        <v>255</v>
      </c>
      <c r="D49" s="19">
        <v>6.4</v>
      </c>
      <c r="E49" s="293">
        <f t="shared" ref="E49:E50" si="2">3.8+(0.4)</f>
        <v>4.2</v>
      </c>
      <c r="F49" s="19">
        <v>0</v>
      </c>
      <c r="G49" s="17">
        <f t="shared" si="1"/>
        <v>26.880000000000003</v>
      </c>
    </row>
    <row r="50" spans="2:38">
      <c r="B50" s="12" t="s">
        <v>129</v>
      </c>
      <c r="C50" s="17" t="s">
        <v>256</v>
      </c>
      <c r="D50" s="19">
        <v>6.4</v>
      </c>
      <c r="E50" s="293">
        <f t="shared" si="2"/>
        <v>4.2</v>
      </c>
      <c r="F50" s="20">
        <v>0</v>
      </c>
      <c r="G50" s="17">
        <f t="shared" si="1"/>
        <v>26.880000000000003</v>
      </c>
    </row>
    <row r="51" spans="2:38">
      <c r="B51" s="12" t="s">
        <v>131</v>
      </c>
      <c r="C51" s="17" t="s">
        <v>257</v>
      </c>
      <c r="D51" s="17">
        <v>1</v>
      </c>
      <c r="E51" s="17">
        <v>1.2</v>
      </c>
      <c r="F51" s="17">
        <v>0</v>
      </c>
      <c r="G51" s="17">
        <f t="shared" si="1"/>
        <v>1.2</v>
      </c>
    </row>
    <row r="52" spans="2:38">
      <c r="B52" s="12" t="s">
        <v>131</v>
      </c>
      <c r="C52" s="17" t="s">
        <v>258</v>
      </c>
      <c r="D52" s="19">
        <v>4.5</v>
      </c>
      <c r="E52" s="17">
        <v>1.2</v>
      </c>
      <c r="F52" s="19">
        <v>0</v>
      </c>
      <c r="G52" s="17">
        <f t="shared" si="1"/>
        <v>5.3999999999999995</v>
      </c>
    </row>
    <row r="53" spans="2:38">
      <c r="B53" s="12" t="s">
        <v>131</v>
      </c>
      <c r="C53" s="17" t="s">
        <v>259</v>
      </c>
      <c r="D53" s="20">
        <v>20.5</v>
      </c>
      <c r="E53" s="17">
        <v>1.2</v>
      </c>
      <c r="F53" s="20">
        <v>0</v>
      </c>
      <c r="G53" s="17">
        <f t="shared" si="1"/>
        <v>24.599999999999998</v>
      </c>
    </row>
    <row r="54" spans="2:38">
      <c r="B54" s="12" t="s">
        <v>131</v>
      </c>
      <c r="C54" s="17" t="s">
        <v>260</v>
      </c>
      <c r="D54" s="21">
        <v>30.9</v>
      </c>
      <c r="E54" s="17">
        <v>1.2</v>
      </c>
      <c r="F54" s="21">
        <v>0</v>
      </c>
      <c r="G54" s="17">
        <f t="shared" si="1"/>
        <v>37.08</v>
      </c>
    </row>
    <row r="55" spans="2:38">
      <c r="B55" s="12" t="s">
        <v>131</v>
      </c>
      <c r="C55" s="17" t="s">
        <v>261</v>
      </c>
      <c r="D55" s="21">
        <v>7.4</v>
      </c>
      <c r="E55" s="17">
        <v>1.2</v>
      </c>
      <c r="F55" s="21">
        <v>0</v>
      </c>
      <c r="G55" s="17">
        <f t="shared" si="1"/>
        <v>8.8800000000000008</v>
      </c>
    </row>
    <row r="56" spans="2:38">
      <c r="B56" s="33" t="s">
        <v>131</v>
      </c>
      <c r="C56" s="34" t="s">
        <v>262</v>
      </c>
      <c r="D56" s="21">
        <v>0.8</v>
      </c>
      <c r="E56" s="17">
        <v>1.2</v>
      </c>
      <c r="F56" s="21">
        <v>0</v>
      </c>
      <c r="G56" s="17">
        <f>(D56*E56)-F56</f>
        <v>0.96</v>
      </c>
    </row>
    <row r="57" spans="2:38">
      <c r="B57" s="75" t="s">
        <v>152</v>
      </c>
      <c r="C57" s="17"/>
      <c r="D57" s="13"/>
      <c r="E57" s="17"/>
      <c r="F57" s="13"/>
      <c r="G57" s="292">
        <f>SUM(G8:G56)</f>
        <v>557.6671</v>
      </c>
    </row>
    <row r="58" spans="2:38" ht="15" customHeight="1">
      <c r="B58" s="612" t="s">
        <v>283</v>
      </c>
      <c r="C58" s="613"/>
      <c r="D58" s="614"/>
      <c r="E58" s="615"/>
      <c r="F58" s="35"/>
      <c r="G58" s="15"/>
    </row>
    <row r="59" spans="2:38">
      <c r="B59" s="609" t="s">
        <v>282</v>
      </c>
      <c r="C59" s="610"/>
      <c r="D59" s="610"/>
      <c r="E59" s="611"/>
      <c r="F59" s="16"/>
      <c r="G59" s="16"/>
      <c r="AD59" s="213"/>
      <c r="AE59" s="213"/>
      <c r="AG59" s="213"/>
      <c r="AI59" s="213"/>
    </row>
    <row r="60" spans="2:38" ht="15.75" thickBot="1">
      <c r="AD60" s="213"/>
      <c r="AE60" s="213"/>
      <c r="AG60" s="213"/>
      <c r="AI60" s="213"/>
    </row>
    <row r="61" spans="2:38" ht="15.75" thickBot="1">
      <c r="B61" s="634" t="s">
        <v>138</v>
      </c>
      <c r="C61" s="635"/>
      <c r="D61" s="635"/>
      <c r="E61" s="635"/>
      <c r="F61" s="635"/>
      <c r="G61" s="635"/>
      <c r="H61" s="635"/>
      <c r="I61" s="635"/>
      <c r="J61" s="635"/>
      <c r="K61" s="635"/>
      <c r="L61" s="635"/>
      <c r="M61" s="635"/>
      <c r="N61" s="635"/>
      <c r="O61" s="636"/>
      <c r="P61" s="641" t="s">
        <v>563</v>
      </c>
      <c r="Q61" s="642"/>
      <c r="R61" s="642"/>
      <c r="S61" s="642"/>
      <c r="T61" s="642"/>
      <c r="U61" s="642"/>
      <c r="V61" s="642"/>
      <c r="W61" s="642"/>
      <c r="X61" s="642"/>
      <c r="Y61" s="643"/>
      <c r="Z61" s="31"/>
      <c r="AB61" s="213"/>
      <c r="AC61" s="213"/>
      <c r="AD61" s="213"/>
      <c r="AE61" s="213"/>
      <c r="AG61" s="213"/>
      <c r="AI61" s="213"/>
      <c r="AJ61" s="213"/>
    </row>
    <row r="62" spans="2:38" ht="15.75" thickBot="1">
      <c r="B62" s="77" t="s">
        <v>284</v>
      </c>
      <c r="U62" s="36"/>
      <c r="AB62" s="677" t="s">
        <v>573</v>
      </c>
      <c r="AC62" s="678"/>
      <c r="AD62" s="213"/>
      <c r="AE62" s="213"/>
      <c r="AG62" s="213"/>
      <c r="AI62" s="213"/>
      <c r="AK62" s="213"/>
      <c r="AL62" s="213"/>
    </row>
    <row r="63" spans="2:38" ht="19.5" thickBot="1">
      <c r="B63" s="644" t="s">
        <v>157</v>
      </c>
      <c r="C63" s="645"/>
      <c r="D63" s="645"/>
      <c r="E63" s="645"/>
      <c r="F63" s="645"/>
      <c r="G63" s="645"/>
      <c r="H63" s="645"/>
      <c r="I63" s="646"/>
      <c r="L63" s="648" t="s">
        <v>158</v>
      </c>
      <c r="M63" s="649"/>
      <c r="N63" s="649"/>
      <c r="O63" s="650"/>
      <c r="P63" s="32"/>
      <c r="Q63" s="576" t="s">
        <v>407</v>
      </c>
      <c r="R63" s="577"/>
      <c r="S63" s="577"/>
      <c r="T63" s="578"/>
      <c r="U63" s="576" t="s">
        <v>408</v>
      </c>
      <c r="V63" s="577"/>
      <c r="W63" s="577"/>
      <c r="X63" s="578"/>
      <c r="Y63" s="188"/>
      <c r="Z63" s="674" t="s">
        <v>562</v>
      </c>
      <c r="AB63" s="679"/>
      <c r="AC63" s="680"/>
      <c r="AD63" s="213"/>
      <c r="AE63" s="671" t="s">
        <v>568</v>
      </c>
      <c r="AF63" s="672"/>
      <c r="AG63" s="672"/>
      <c r="AH63" s="672"/>
      <c r="AI63" s="672"/>
      <c r="AJ63" s="673"/>
      <c r="AK63" s="213"/>
      <c r="AL63" s="213"/>
    </row>
    <row r="64" spans="2:38" ht="17.25" customHeight="1" thickBot="1">
      <c r="B64" s="632" t="s">
        <v>132</v>
      </c>
      <c r="C64" s="632" t="s">
        <v>133</v>
      </c>
      <c r="D64" s="616" t="s">
        <v>415</v>
      </c>
      <c r="E64" s="616" t="s">
        <v>416</v>
      </c>
      <c r="F64" s="616" t="s">
        <v>417</v>
      </c>
      <c r="G64" s="616" t="s">
        <v>418</v>
      </c>
      <c r="H64" s="616" t="s">
        <v>419</v>
      </c>
      <c r="I64" s="616" t="s">
        <v>420</v>
      </c>
      <c r="J64" s="38"/>
      <c r="K64" s="37"/>
      <c r="L64" s="656" t="s">
        <v>132</v>
      </c>
      <c r="M64" s="647" t="s">
        <v>173</v>
      </c>
      <c r="N64" s="655" t="s">
        <v>175</v>
      </c>
      <c r="O64" s="616" t="s">
        <v>136</v>
      </c>
      <c r="Q64" s="579"/>
      <c r="R64" s="580"/>
      <c r="S64" s="580"/>
      <c r="T64" s="581"/>
      <c r="U64" s="579"/>
      <c r="V64" s="580"/>
      <c r="W64" s="580"/>
      <c r="X64" s="581"/>
      <c r="Z64" s="675"/>
      <c r="AB64" s="633" t="s">
        <v>132</v>
      </c>
      <c r="AC64" s="633" t="s">
        <v>420</v>
      </c>
      <c r="AE64" s="633" t="s">
        <v>564</v>
      </c>
      <c r="AF64" s="633" t="s">
        <v>571</v>
      </c>
      <c r="AG64" s="633" t="s">
        <v>565</v>
      </c>
      <c r="AH64" s="633" t="s">
        <v>572</v>
      </c>
      <c r="AI64" s="633" t="s">
        <v>415</v>
      </c>
      <c r="AJ64" s="633" t="s">
        <v>409</v>
      </c>
      <c r="AK64" s="213"/>
      <c r="AL64" s="213"/>
    </row>
    <row r="65" spans="2:38">
      <c r="B65" s="624"/>
      <c r="C65" s="624"/>
      <c r="D65" s="617"/>
      <c r="E65" s="617"/>
      <c r="F65" s="617"/>
      <c r="G65" s="617"/>
      <c r="H65" s="617"/>
      <c r="I65" s="617"/>
      <c r="J65" s="38"/>
      <c r="K65" s="37"/>
      <c r="L65" s="657"/>
      <c r="M65" s="625"/>
      <c r="N65" s="616"/>
      <c r="O65" s="617"/>
      <c r="Q65" s="186" t="s">
        <v>132</v>
      </c>
      <c r="R65" s="186" t="s">
        <v>133</v>
      </c>
      <c r="S65" s="186" t="s">
        <v>191</v>
      </c>
      <c r="T65" s="198" t="s">
        <v>409</v>
      </c>
      <c r="U65" s="203" t="s">
        <v>132</v>
      </c>
      <c r="V65" s="204" t="s">
        <v>133</v>
      </c>
      <c r="W65" s="204" t="s">
        <v>191</v>
      </c>
      <c r="X65" s="187" t="s">
        <v>409</v>
      </c>
      <c r="Z65" s="675"/>
      <c r="AB65" s="616"/>
      <c r="AC65" s="616"/>
      <c r="AE65" s="616"/>
      <c r="AF65" s="616"/>
      <c r="AG65" s="616"/>
      <c r="AH65" s="616"/>
      <c r="AI65" s="616"/>
      <c r="AJ65" s="616"/>
      <c r="AK65" s="213"/>
      <c r="AL65" s="213"/>
    </row>
    <row r="66" spans="2:38">
      <c r="B66" s="23" t="s">
        <v>143</v>
      </c>
      <c r="C66" s="23" t="s">
        <v>142</v>
      </c>
      <c r="D66" s="13">
        <f>SUM(F8:F13)</f>
        <v>26.06</v>
      </c>
      <c r="E66" s="13">
        <v>29.3</v>
      </c>
      <c r="F66" s="13">
        <v>28</v>
      </c>
      <c r="G66" s="13">
        <f>3.66-0.4</f>
        <v>3.2600000000000002</v>
      </c>
      <c r="H66" s="13">
        <f>3.5-0.4</f>
        <v>3.1</v>
      </c>
      <c r="I66" s="13">
        <f>((E66*G66)-D66)+((F66*H66-D66))</f>
        <v>130.19800000000001</v>
      </c>
      <c r="L66" s="13" t="s">
        <v>130</v>
      </c>
      <c r="M66" s="13" t="s">
        <v>159</v>
      </c>
      <c r="N66" s="13" t="s">
        <v>176</v>
      </c>
      <c r="O66" s="73">
        <v>6.25</v>
      </c>
      <c r="Q66" s="185" t="s">
        <v>130</v>
      </c>
      <c r="R66" s="25" t="s">
        <v>142</v>
      </c>
      <c r="S66" s="183" t="s">
        <v>191</v>
      </c>
      <c r="T66" s="191">
        <f>(F66*H66)-D66</f>
        <v>60.739999999999995</v>
      </c>
      <c r="U66" s="199" t="s">
        <v>130</v>
      </c>
      <c r="V66" s="200" t="s">
        <v>142</v>
      </c>
      <c r="W66" s="201" t="s">
        <v>191</v>
      </c>
      <c r="X66" s="202">
        <f>(G66*E66)-D66</f>
        <v>69.458000000000013</v>
      </c>
      <c r="Z66" s="675"/>
      <c r="AB66" s="13" t="s">
        <v>556</v>
      </c>
      <c r="AC66" s="13">
        <f>((1+1+2+2)*3.5)-S7-S17</f>
        <v>19.23</v>
      </c>
      <c r="AE66" s="13">
        <f>95.6+9.85+(3.5*2+2*2)</f>
        <v>116.44999999999999</v>
      </c>
      <c r="AF66" s="13">
        <v>3.85</v>
      </c>
      <c r="AG66" s="13">
        <v>1</v>
      </c>
      <c r="AH66" s="13">
        <v>1.3</v>
      </c>
      <c r="AI66" s="237">
        <f>(13*Q6)+(Q8*1)+(Q11*2)+(1*Q9)</f>
        <v>20.000000000000004</v>
      </c>
      <c r="AJ66" s="237">
        <f>((AG66*AE66)+(AF66*AH66))-AI66</f>
        <v>101.45499999999998</v>
      </c>
      <c r="AK66" s="213"/>
      <c r="AL66" s="213"/>
    </row>
    <row r="67" spans="2:38">
      <c r="B67" s="23" t="s">
        <v>143</v>
      </c>
      <c r="C67" s="24" t="s">
        <v>148</v>
      </c>
      <c r="D67" s="13">
        <f>F14+F15</f>
        <v>1.6800000000000002</v>
      </c>
      <c r="E67" s="13">
        <v>5.85</v>
      </c>
      <c r="F67" s="13">
        <v>5.85</v>
      </c>
      <c r="G67" s="13">
        <f t="shared" ref="G67:G85" si="3">3.66-0.4</f>
        <v>3.2600000000000002</v>
      </c>
      <c r="H67" s="13">
        <f t="shared" ref="H67:H85" si="4">3.5-0.4</f>
        <v>3.1</v>
      </c>
      <c r="I67" s="13">
        <f t="shared" ref="I67:I100" si="5">((E67*G67)-D67)+((F67*H67-D67))</f>
        <v>33.846000000000004</v>
      </c>
      <c r="L67" s="13" t="s">
        <v>130</v>
      </c>
      <c r="M67" s="13" t="s">
        <v>160</v>
      </c>
      <c r="N67" s="13" t="s">
        <v>177</v>
      </c>
      <c r="O67" s="73">
        <v>8.375</v>
      </c>
      <c r="Q67" s="185" t="s">
        <v>130</v>
      </c>
      <c r="R67" s="185" t="s">
        <v>148</v>
      </c>
      <c r="S67" s="183" t="s">
        <v>191</v>
      </c>
      <c r="T67" s="191">
        <f t="shared" ref="T67:T100" si="6">(F67*H67)-D67</f>
        <v>16.454999999999998</v>
      </c>
      <c r="U67" s="189" t="s">
        <v>130</v>
      </c>
      <c r="V67" s="185" t="s">
        <v>148</v>
      </c>
      <c r="W67" s="183" t="s">
        <v>191</v>
      </c>
      <c r="X67" s="202">
        <f t="shared" ref="X67:X100" si="7">(G67*E67)-D67</f>
        <v>17.391000000000002</v>
      </c>
      <c r="Z67" s="675"/>
      <c r="AB67" s="13" t="s">
        <v>557</v>
      </c>
      <c r="AC67" s="13">
        <f>((1.55+1.55+4.35+4.35)*3.5)-S9-S17-S17-S19</f>
        <v>36.82</v>
      </c>
      <c r="AK67" s="213"/>
      <c r="AL67" s="213"/>
    </row>
    <row r="68" spans="2:38" ht="15.75" thickBot="1">
      <c r="B68" s="23" t="s">
        <v>143</v>
      </c>
      <c r="C68" s="24" t="s">
        <v>151</v>
      </c>
      <c r="D68" s="13">
        <f>SUM(F16:F21)</f>
        <v>20.68</v>
      </c>
      <c r="E68" s="13">
        <v>25.4</v>
      </c>
      <c r="F68" s="13">
        <v>24.15</v>
      </c>
      <c r="G68" s="13">
        <f t="shared" si="3"/>
        <v>3.2600000000000002</v>
      </c>
      <c r="H68" s="13">
        <f t="shared" si="4"/>
        <v>3.1</v>
      </c>
      <c r="I68" s="13">
        <f t="shared" si="5"/>
        <v>116.309</v>
      </c>
      <c r="L68" s="13" t="s">
        <v>130</v>
      </c>
      <c r="M68" s="13" t="s">
        <v>161</v>
      </c>
      <c r="N68" s="13" t="s">
        <v>178</v>
      </c>
      <c r="O68" s="73">
        <v>39.527500000000003</v>
      </c>
      <c r="Q68" s="185" t="s">
        <v>130</v>
      </c>
      <c r="R68" s="185" t="s">
        <v>151</v>
      </c>
      <c r="S68" s="183" t="s">
        <v>191</v>
      </c>
      <c r="T68" s="191">
        <f t="shared" si="6"/>
        <v>54.184999999999995</v>
      </c>
      <c r="U68" s="189" t="s">
        <v>130</v>
      </c>
      <c r="V68" s="185" t="s">
        <v>151</v>
      </c>
      <c r="W68" s="183" t="s">
        <v>191</v>
      </c>
      <c r="X68" s="202">
        <f t="shared" si="7"/>
        <v>62.124000000000002</v>
      </c>
      <c r="Z68" s="675"/>
      <c r="AB68" s="13" t="s">
        <v>558</v>
      </c>
      <c r="AC68" s="13">
        <f>((1.6+1.6+6+6)*3.5)-(3*S17)-S19-S9</f>
        <v>48.419999999999995</v>
      </c>
      <c r="AK68" s="213"/>
      <c r="AL68" s="213"/>
    </row>
    <row r="69" spans="2:38" ht="19.5" thickBot="1">
      <c r="B69" s="23" t="s">
        <v>143</v>
      </c>
      <c r="C69" s="24">
        <v>15</v>
      </c>
      <c r="D69" s="13">
        <f>F22</f>
        <v>0</v>
      </c>
      <c r="E69" s="13">
        <v>3.7</v>
      </c>
      <c r="F69" s="13">
        <v>3.5</v>
      </c>
      <c r="G69" s="13">
        <f t="shared" si="3"/>
        <v>3.2600000000000002</v>
      </c>
      <c r="H69" s="13">
        <f t="shared" si="4"/>
        <v>3.1</v>
      </c>
      <c r="I69" s="13">
        <f t="shared" si="5"/>
        <v>22.911999999999999</v>
      </c>
      <c r="L69" s="13" t="s">
        <v>130</v>
      </c>
      <c r="M69" s="13" t="s">
        <v>162</v>
      </c>
      <c r="N69" s="13" t="s">
        <v>247</v>
      </c>
      <c r="O69" s="13">
        <v>2</v>
      </c>
      <c r="Q69" s="185" t="s">
        <v>130</v>
      </c>
      <c r="R69" s="185">
        <v>15</v>
      </c>
      <c r="S69" s="183" t="s">
        <v>191</v>
      </c>
      <c r="T69" s="191">
        <f t="shared" si="6"/>
        <v>10.85</v>
      </c>
      <c r="U69" s="189" t="s">
        <v>130</v>
      </c>
      <c r="V69" s="185">
        <v>15</v>
      </c>
      <c r="W69" s="183" t="s">
        <v>191</v>
      </c>
      <c r="X69" s="202">
        <f t="shared" si="7"/>
        <v>12.062000000000001</v>
      </c>
      <c r="Z69" s="675"/>
      <c r="AB69" s="13" t="s">
        <v>559</v>
      </c>
      <c r="AC69" s="13">
        <f>((1.5+1.5+1.55+1.55)*3.5)-S18-S8</f>
        <v>19.47</v>
      </c>
      <c r="AE69" s="671" t="s">
        <v>574</v>
      </c>
      <c r="AF69" s="672"/>
      <c r="AG69" s="672"/>
      <c r="AH69" s="673"/>
      <c r="AI69" s="213"/>
      <c r="AJ69" s="213"/>
      <c r="AK69" s="213"/>
      <c r="AL69" s="213"/>
    </row>
    <row r="70" spans="2:38" ht="15" customHeight="1">
      <c r="B70" s="23" t="s">
        <v>143</v>
      </c>
      <c r="C70" s="24">
        <v>16</v>
      </c>
      <c r="D70" s="13">
        <f>F23</f>
        <v>1.6800000000000002</v>
      </c>
      <c r="E70" s="13">
        <v>3.5</v>
      </c>
      <c r="F70" s="13">
        <v>3.5</v>
      </c>
      <c r="G70" s="13">
        <f t="shared" si="3"/>
        <v>3.2600000000000002</v>
      </c>
      <c r="H70" s="13">
        <f t="shared" si="4"/>
        <v>3.1</v>
      </c>
      <c r="I70" s="13">
        <f t="shared" si="5"/>
        <v>18.899999999999999</v>
      </c>
      <c r="L70" s="13" t="s">
        <v>130</v>
      </c>
      <c r="M70" s="13" t="s">
        <v>163</v>
      </c>
      <c r="N70" s="13" t="s">
        <v>248</v>
      </c>
      <c r="O70" s="13">
        <v>6.7424999999999997</v>
      </c>
      <c r="Q70" s="185" t="s">
        <v>130</v>
      </c>
      <c r="R70" s="185">
        <v>16</v>
      </c>
      <c r="S70" s="183" t="s">
        <v>191</v>
      </c>
      <c r="T70" s="191">
        <f t="shared" si="6"/>
        <v>9.17</v>
      </c>
      <c r="U70" s="189" t="s">
        <v>130</v>
      </c>
      <c r="V70" s="185">
        <v>16</v>
      </c>
      <c r="W70" s="183" t="s">
        <v>191</v>
      </c>
      <c r="X70" s="202">
        <f t="shared" si="7"/>
        <v>9.73</v>
      </c>
      <c r="Z70" s="675"/>
      <c r="AB70" s="13" t="s">
        <v>180</v>
      </c>
      <c r="AC70" s="13">
        <f>((6.5+6.5+3.5+3.5)*3.5)-S9-S16-S6-(1.08*1.5)-(0.53*1.13)</f>
        <v>62.441099999999985</v>
      </c>
      <c r="AE70" s="681" t="s">
        <v>132</v>
      </c>
      <c r="AF70" s="633" t="s">
        <v>570</v>
      </c>
      <c r="AG70" s="633" t="s">
        <v>569</v>
      </c>
      <c r="AH70" s="633" t="s">
        <v>420</v>
      </c>
      <c r="AI70" s="213"/>
      <c r="AJ70" s="213"/>
      <c r="AK70" s="213"/>
      <c r="AL70" s="213"/>
    </row>
    <row r="71" spans="2:38">
      <c r="B71" s="23" t="s">
        <v>143</v>
      </c>
      <c r="C71" s="24">
        <v>17</v>
      </c>
      <c r="D71" s="13">
        <f>F24</f>
        <v>0</v>
      </c>
      <c r="E71" s="13">
        <v>3.5</v>
      </c>
      <c r="F71" s="13">
        <v>3.5</v>
      </c>
      <c r="G71" s="13">
        <f t="shared" si="3"/>
        <v>3.2600000000000002</v>
      </c>
      <c r="H71" s="13">
        <f t="shared" si="4"/>
        <v>3.1</v>
      </c>
      <c r="I71" s="13">
        <f t="shared" si="5"/>
        <v>22.259999999999998</v>
      </c>
      <c r="L71" s="13" t="s">
        <v>130</v>
      </c>
      <c r="M71" s="13" t="s">
        <v>164</v>
      </c>
      <c r="N71" s="13" t="s">
        <v>249</v>
      </c>
      <c r="O71" s="13">
        <v>2.3250000000000002</v>
      </c>
      <c r="Q71" s="185" t="s">
        <v>130</v>
      </c>
      <c r="R71" s="185">
        <v>17</v>
      </c>
      <c r="S71" s="183" t="s">
        <v>191</v>
      </c>
      <c r="T71" s="191">
        <f t="shared" si="6"/>
        <v>10.85</v>
      </c>
      <c r="U71" s="189" t="s">
        <v>130</v>
      </c>
      <c r="V71" s="185">
        <v>17</v>
      </c>
      <c r="W71" s="183" t="s">
        <v>191</v>
      </c>
      <c r="X71" s="202">
        <f t="shared" si="7"/>
        <v>11.41</v>
      </c>
      <c r="Z71" s="675"/>
      <c r="AB71" s="13" t="s">
        <v>560</v>
      </c>
      <c r="AC71" s="13">
        <f>((2.7+2.7+1.7+1.7)*3.5)-S6-S17</f>
        <v>28.820000000000004</v>
      </c>
      <c r="AE71" s="632"/>
      <c r="AF71" s="616"/>
      <c r="AG71" s="616"/>
      <c r="AH71" s="616"/>
      <c r="AI71" s="213"/>
      <c r="AJ71" s="213"/>
      <c r="AK71" s="213"/>
    </row>
    <row r="72" spans="2:38">
      <c r="B72" s="23" t="s">
        <v>143</v>
      </c>
      <c r="C72" s="24">
        <v>18</v>
      </c>
      <c r="D72" s="13">
        <f>F25</f>
        <v>0</v>
      </c>
      <c r="E72" s="13">
        <v>3.5</v>
      </c>
      <c r="F72" s="13">
        <v>3.5</v>
      </c>
      <c r="G72" s="13">
        <f t="shared" si="3"/>
        <v>3.2600000000000002</v>
      </c>
      <c r="H72" s="13">
        <f t="shared" si="4"/>
        <v>3.1</v>
      </c>
      <c r="I72" s="13">
        <f t="shared" si="5"/>
        <v>22.259999999999998</v>
      </c>
      <c r="L72" s="13" t="s">
        <v>130</v>
      </c>
      <c r="M72" s="13" t="s">
        <v>165</v>
      </c>
      <c r="N72" s="13" t="s">
        <v>250</v>
      </c>
      <c r="O72" s="13">
        <v>9.6</v>
      </c>
      <c r="Q72" s="185" t="s">
        <v>130</v>
      </c>
      <c r="R72" s="185">
        <v>18</v>
      </c>
      <c r="S72" s="183" t="s">
        <v>191</v>
      </c>
      <c r="T72" s="191">
        <f t="shared" si="6"/>
        <v>10.85</v>
      </c>
      <c r="U72" s="189" t="s">
        <v>130</v>
      </c>
      <c r="V72" s="185">
        <v>18</v>
      </c>
      <c r="W72" s="183" t="s">
        <v>191</v>
      </c>
      <c r="X72" s="202">
        <f t="shared" si="7"/>
        <v>11.41</v>
      </c>
      <c r="Z72" s="675"/>
      <c r="AB72" s="13" t="s">
        <v>561</v>
      </c>
      <c r="AC72" s="13">
        <f>((2.7+2.7+1.7+1.7)*3.5)-S6-S17</f>
        <v>28.820000000000004</v>
      </c>
      <c r="AE72" s="13" t="s">
        <v>556</v>
      </c>
      <c r="AF72" s="238">
        <f>(1*2+2*2)</f>
        <v>6</v>
      </c>
      <c r="AG72" s="14">
        <f>Q7</f>
        <v>0.7</v>
      </c>
      <c r="AH72" s="13">
        <f>(AF72-AG72)*0.1</f>
        <v>0.53</v>
      </c>
      <c r="AI72" s="213"/>
      <c r="AJ72" s="213"/>
      <c r="AK72" s="213"/>
    </row>
    <row r="73" spans="2:38">
      <c r="B73" s="23" t="s">
        <v>143</v>
      </c>
      <c r="C73" s="24">
        <v>19</v>
      </c>
      <c r="D73" s="13">
        <f>F26</f>
        <v>1.9800000000000002</v>
      </c>
      <c r="E73" s="13">
        <v>3.9</v>
      </c>
      <c r="F73" s="13">
        <v>3.5</v>
      </c>
      <c r="G73" s="13">
        <f t="shared" si="3"/>
        <v>3.2600000000000002</v>
      </c>
      <c r="H73" s="13">
        <f t="shared" si="4"/>
        <v>3.1</v>
      </c>
      <c r="I73" s="13">
        <f t="shared" si="5"/>
        <v>19.603999999999999</v>
      </c>
      <c r="L73" s="13" t="s">
        <v>130</v>
      </c>
      <c r="M73" s="13" t="s">
        <v>166</v>
      </c>
      <c r="N73" s="13" t="s">
        <v>179</v>
      </c>
      <c r="O73" s="13">
        <v>42</v>
      </c>
      <c r="Q73" s="185" t="s">
        <v>130</v>
      </c>
      <c r="R73" s="185">
        <v>19</v>
      </c>
      <c r="S73" s="183" t="s">
        <v>191</v>
      </c>
      <c r="T73" s="191">
        <f t="shared" si="6"/>
        <v>8.8699999999999992</v>
      </c>
      <c r="U73" s="189" t="s">
        <v>130</v>
      </c>
      <c r="V73" s="185">
        <v>19</v>
      </c>
      <c r="W73" s="183" t="s">
        <v>191</v>
      </c>
      <c r="X73" s="202">
        <f t="shared" si="7"/>
        <v>10.734</v>
      </c>
      <c r="Z73" s="675"/>
      <c r="AB73" s="13" t="s">
        <v>183</v>
      </c>
      <c r="AC73" s="13">
        <f>((1.5+1.5+3.5+3.5)*3.5)-(S6+S17+S16)</f>
        <v>31.04</v>
      </c>
      <c r="AE73" s="13" t="s">
        <v>557</v>
      </c>
      <c r="AF73" s="13">
        <f>(1.55*2)+(4.35*2)</f>
        <v>11.799999999999999</v>
      </c>
      <c r="AG73" s="14">
        <f>Q6+Q19</f>
        <v>2.8</v>
      </c>
      <c r="AH73" s="13">
        <f t="shared" ref="AH73:AH78" si="8">(AF73-AG73)*0.1</f>
        <v>0.9</v>
      </c>
      <c r="AI73" s="213"/>
      <c r="AJ73" s="213"/>
      <c r="AK73" s="213"/>
    </row>
    <row r="74" spans="2:38">
      <c r="B74" s="23" t="s">
        <v>143</v>
      </c>
      <c r="C74" s="24" t="s">
        <v>150</v>
      </c>
      <c r="D74" s="13">
        <f>F27+F35</f>
        <v>3.5200000000000005</v>
      </c>
      <c r="E74" s="13">
        <v>6.4</v>
      </c>
      <c r="F74" s="13">
        <v>5.85</v>
      </c>
      <c r="G74" s="13">
        <f t="shared" si="3"/>
        <v>3.2600000000000002</v>
      </c>
      <c r="H74" s="13">
        <f t="shared" si="4"/>
        <v>3.1</v>
      </c>
      <c r="I74" s="13">
        <f t="shared" si="5"/>
        <v>31.959000000000003</v>
      </c>
      <c r="L74" s="13" t="s">
        <v>130</v>
      </c>
      <c r="M74" s="13" t="s">
        <v>167</v>
      </c>
      <c r="N74" s="13" t="s">
        <v>351</v>
      </c>
      <c r="O74" s="13">
        <v>30</v>
      </c>
      <c r="Q74" s="185" t="s">
        <v>130</v>
      </c>
      <c r="R74" s="185" t="s">
        <v>150</v>
      </c>
      <c r="S74" s="183" t="s">
        <v>191</v>
      </c>
      <c r="T74" s="191">
        <f t="shared" si="6"/>
        <v>14.614999999999998</v>
      </c>
      <c r="U74" s="189" t="s">
        <v>130</v>
      </c>
      <c r="V74" s="185" t="s">
        <v>150</v>
      </c>
      <c r="W74" s="183" t="s">
        <v>191</v>
      </c>
      <c r="X74" s="202">
        <f t="shared" si="7"/>
        <v>17.344000000000005</v>
      </c>
      <c r="Z74" s="675"/>
      <c r="AB74" s="97" t="s">
        <v>152</v>
      </c>
      <c r="AC74" s="120">
        <f>SUM(AC66:AC73)-AH80</f>
        <v>270.26109999999994</v>
      </c>
      <c r="AE74" s="13" t="s">
        <v>558</v>
      </c>
      <c r="AF74" s="13">
        <f>(1.6+1.6+6+6)</f>
        <v>15.2</v>
      </c>
      <c r="AG74" s="14">
        <f>Q6+Q19</f>
        <v>2.8</v>
      </c>
      <c r="AH74" s="13">
        <f t="shared" si="8"/>
        <v>1.24</v>
      </c>
      <c r="AI74" s="213"/>
      <c r="AJ74" s="213"/>
      <c r="AK74" s="213"/>
    </row>
    <row r="75" spans="2:38">
      <c r="B75" s="23" t="s">
        <v>143</v>
      </c>
      <c r="C75" s="262">
        <v>29</v>
      </c>
      <c r="D75" s="13">
        <f>F36+F28</f>
        <v>0</v>
      </c>
      <c r="E75" s="13">
        <v>3.35</v>
      </c>
      <c r="F75" s="13">
        <v>3.35</v>
      </c>
      <c r="G75" s="13">
        <f t="shared" si="3"/>
        <v>3.2600000000000002</v>
      </c>
      <c r="H75" s="13">
        <f t="shared" si="4"/>
        <v>3.1</v>
      </c>
      <c r="I75" s="13">
        <f t="shared" si="5"/>
        <v>21.306000000000001</v>
      </c>
      <c r="L75" s="13" t="s">
        <v>130</v>
      </c>
      <c r="M75" s="13" t="s">
        <v>168</v>
      </c>
      <c r="N75" s="13" t="s">
        <v>180</v>
      </c>
      <c r="O75" s="13">
        <v>22.75</v>
      </c>
      <c r="Q75" s="185" t="s">
        <v>130</v>
      </c>
      <c r="R75" s="185" t="s">
        <v>145</v>
      </c>
      <c r="S75" s="183" t="s">
        <v>191</v>
      </c>
      <c r="T75" s="191">
        <f t="shared" si="6"/>
        <v>10.385</v>
      </c>
      <c r="U75" s="189" t="s">
        <v>130</v>
      </c>
      <c r="V75" s="185" t="s">
        <v>145</v>
      </c>
      <c r="W75" s="183" t="s">
        <v>191</v>
      </c>
      <c r="X75" s="202">
        <f t="shared" si="7"/>
        <v>10.921000000000001</v>
      </c>
      <c r="Z75" s="675"/>
      <c r="AE75" s="13" t="s">
        <v>559</v>
      </c>
      <c r="AF75" s="13">
        <f>(1.5+1.5+1.55+1.55)</f>
        <v>6.1</v>
      </c>
      <c r="AG75" s="14">
        <f>Q8</f>
        <v>0.8</v>
      </c>
      <c r="AH75" s="13">
        <f t="shared" si="8"/>
        <v>0.53</v>
      </c>
      <c r="AI75" s="213"/>
      <c r="AJ75" s="213"/>
      <c r="AK75" s="213"/>
    </row>
    <row r="76" spans="2:38">
      <c r="B76" s="23" t="s">
        <v>143</v>
      </c>
      <c r="C76" s="13" t="s">
        <v>146</v>
      </c>
      <c r="D76" s="13">
        <f>F29+F37</f>
        <v>1.47</v>
      </c>
      <c r="E76" s="13">
        <v>5.85</v>
      </c>
      <c r="F76" s="13">
        <v>5.85</v>
      </c>
      <c r="G76" s="13">
        <f t="shared" si="3"/>
        <v>3.2600000000000002</v>
      </c>
      <c r="H76" s="13">
        <f t="shared" si="4"/>
        <v>3.1</v>
      </c>
      <c r="I76" s="13">
        <f t="shared" si="5"/>
        <v>34.266000000000005</v>
      </c>
      <c r="L76" s="13" t="s">
        <v>130</v>
      </c>
      <c r="M76" s="13" t="s">
        <v>169</v>
      </c>
      <c r="N76" s="13" t="s">
        <v>181</v>
      </c>
      <c r="O76" s="13">
        <v>7</v>
      </c>
      <c r="Q76" s="185" t="s">
        <v>130</v>
      </c>
      <c r="R76" s="185" t="s">
        <v>146</v>
      </c>
      <c r="S76" s="183" t="s">
        <v>191</v>
      </c>
      <c r="T76" s="191">
        <f t="shared" si="6"/>
        <v>16.664999999999999</v>
      </c>
      <c r="U76" s="189" t="s">
        <v>130</v>
      </c>
      <c r="V76" s="185" t="s">
        <v>146</v>
      </c>
      <c r="W76" s="183" t="s">
        <v>191</v>
      </c>
      <c r="X76" s="202">
        <f t="shared" si="7"/>
        <v>17.601000000000003</v>
      </c>
      <c r="Z76" s="675"/>
      <c r="AE76" s="13" t="s">
        <v>180</v>
      </c>
      <c r="AF76" s="13">
        <f>(6.5+6.5+3.5+3.5)</f>
        <v>20</v>
      </c>
      <c r="AG76" s="13">
        <f>(2*Q6)+Q16+1.5</f>
        <v>4.9000000000000004</v>
      </c>
      <c r="AH76" s="13">
        <v>0</v>
      </c>
      <c r="AI76" s="213"/>
      <c r="AJ76" s="213"/>
      <c r="AK76" s="213"/>
    </row>
    <row r="77" spans="2:38">
      <c r="B77" s="23" t="s">
        <v>143</v>
      </c>
      <c r="C77" s="24">
        <v>23</v>
      </c>
      <c r="D77" s="13">
        <f>F30</f>
        <v>3.8800000000000003</v>
      </c>
      <c r="E77" s="13">
        <v>6</v>
      </c>
      <c r="F77" s="13">
        <v>5.85</v>
      </c>
      <c r="G77" s="13">
        <f t="shared" si="3"/>
        <v>3.2600000000000002</v>
      </c>
      <c r="H77" s="13">
        <f t="shared" si="4"/>
        <v>3.1</v>
      </c>
      <c r="I77" s="13">
        <f t="shared" si="5"/>
        <v>29.934999999999999</v>
      </c>
      <c r="L77" s="13" t="s">
        <v>130</v>
      </c>
      <c r="M77" s="13" t="s">
        <v>170</v>
      </c>
      <c r="N77" s="13" t="s">
        <v>182</v>
      </c>
      <c r="O77" s="13">
        <v>5.25</v>
      </c>
      <c r="Q77" s="185" t="s">
        <v>130</v>
      </c>
      <c r="R77" s="185">
        <v>23</v>
      </c>
      <c r="S77" s="183" t="s">
        <v>191</v>
      </c>
      <c r="T77" s="191">
        <f t="shared" si="6"/>
        <v>14.254999999999997</v>
      </c>
      <c r="U77" s="189" t="s">
        <v>130</v>
      </c>
      <c r="V77" s="185">
        <v>23</v>
      </c>
      <c r="W77" s="183" t="s">
        <v>191</v>
      </c>
      <c r="X77" s="202">
        <f t="shared" si="7"/>
        <v>15.680000000000001</v>
      </c>
      <c r="Z77" s="675"/>
      <c r="AE77" s="13" t="s">
        <v>560</v>
      </c>
      <c r="AF77" s="13">
        <f>(2.7+2.7+1.7+1.7)</f>
        <v>8.8000000000000007</v>
      </c>
      <c r="AG77" s="14">
        <f>Q6</f>
        <v>0.8</v>
      </c>
      <c r="AH77" s="13">
        <f t="shared" si="8"/>
        <v>0.8</v>
      </c>
      <c r="AI77" s="213"/>
      <c r="AJ77" s="213"/>
      <c r="AK77" s="213"/>
    </row>
    <row r="78" spans="2:38">
      <c r="B78" s="23" t="s">
        <v>143</v>
      </c>
      <c r="C78" s="24">
        <v>24</v>
      </c>
      <c r="D78" s="13">
        <f>F31</f>
        <v>0</v>
      </c>
      <c r="E78" s="13">
        <v>6</v>
      </c>
      <c r="F78" s="13">
        <f>6-0.15</f>
        <v>5.85</v>
      </c>
      <c r="G78" s="13">
        <f t="shared" si="3"/>
        <v>3.2600000000000002</v>
      </c>
      <c r="H78" s="13">
        <f t="shared" si="4"/>
        <v>3.1</v>
      </c>
      <c r="I78" s="13">
        <f t="shared" si="5"/>
        <v>37.695</v>
      </c>
      <c r="L78" s="13" t="s">
        <v>130</v>
      </c>
      <c r="M78" s="13" t="s">
        <v>171</v>
      </c>
      <c r="N78" s="13" t="s">
        <v>183</v>
      </c>
      <c r="O78" s="13">
        <v>5.25</v>
      </c>
      <c r="Q78" s="185" t="s">
        <v>130</v>
      </c>
      <c r="R78" s="185">
        <v>24</v>
      </c>
      <c r="S78" s="183" t="s">
        <v>191</v>
      </c>
      <c r="T78" s="191">
        <f t="shared" si="6"/>
        <v>18.134999999999998</v>
      </c>
      <c r="U78" s="189" t="s">
        <v>130</v>
      </c>
      <c r="V78" s="185">
        <v>24</v>
      </c>
      <c r="W78" s="183" t="s">
        <v>191</v>
      </c>
      <c r="X78" s="202">
        <f t="shared" si="7"/>
        <v>19.560000000000002</v>
      </c>
      <c r="Z78" s="675"/>
      <c r="AE78" s="13" t="s">
        <v>561</v>
      </c>
      <c r="AF78" s="13">
        <f>(2.7+2.7+1.7+1.7)</f>
        <v>8.8000000000000007</v>
      </c>
      <c r="AG78" s="14">
        <f>Q6</f>
        <v>0.8</v>
      </c>
      <c r="AH78" s="13">
        <f t="shared" si="8"/>
        <v>0.8</v>
      </c>
      <c r="AI78" s="213"/>
      <c r="AJ78" s="213"/>
      <c r="AK78" s="213"/>
    </row>
    <row r="79" spans="2:38">
      <c r="B79" s="23" t="s">
        <v>143</v>
      </c>
      <c r="C79" s="24">
        <v>25</v>
      </c>
      <c r="D79" s="13">
        <f>F32</f>
        <v>3.8800000000000003</v>
      </c>
      <c r="E79" s="13">
        <v>6</v>
      </c>
      <c r="F79" s="13">
        <v>6</v>
      </c>
      <c r="G79" s="13">
        <f t="shared" si="3"/>
        <v>3.2600000000000002</v>
      </c>
      <c r="H79" s="13">
        <f t="shared" si="4"/>
        <v>3.1</v>
      </c>
      <c r="I79" s="13">
        <f t="shared" si="5"/>
        <v>30.400000000000002</v>
      </c>
      <c r="L79" s="26" t="s">
        <v>130</v>
      </c>
      <c r="M79" s="13" t="s">
        <v>267</v>
      </c>
      <c r="N79" s="13" t="s">
        <v>269</v>
      </c>
      <c r="O79" s="39">
        <v>8.375</v>
      </c>
      <c r="Q79" s="185" t="s">
        <v>130</v>
      </c>
      <c r="R79" s="185">
        <v>25</v>
      </c>
      <c r="S79" s="183" t="s">
        <v>191</v>
      </c>
      <c r="T79" s="191">
        <f t="shared" si="6"/>
        <v>14.72</v>
      </c>
      <c r="U79" s="189" t="s">
        <v>130</v>
      </c>
      <c r="V79" s="185">
        <v>25</v>
      </c>
      <c r="W79" s="183" t="s">
        <v>191</v>
      </c>
      <c r="X79" s="202">
        <f t="shared" si="7"/>
        <v>15.680000000000001</v>
      </c>
      <c r="Z79" s="675"/>
      <c r="AE79" s="13" t="s">
        <v>183</v>
      </c>
      <c r="AF79" s="13">
        <f>(3.5+3.5+1.5+1.5)</f>
        <v>10</v>
      </c>
      <c r="AG79" s="14">
        <f>Q6+Q16</f>
        <v>2.6</v>
      </c>
      <c r="AH79" s="13">
        <v>0</v>
      </c>
      <c r="AI79" s="213"/>
      <c r="AJ79" s="213"/>
      <c r="AK79" s="213"/>
    </row>
    <row r="80" spans="2:38">
      <c r="B80" s="23" t="s">
        <v>143</v>
      </c>
      <c r="C80" s="262" t="s">
        <v>637</v>
      </c>
      <c r="D80" s="13">
        <f>F33</f>
        <v>0</v>
      </c>
      <c r="E80" s="13">
        <v>6</v>
      </c>
      <c r="F80" s="13">
        <v>6</v>
      </c>
      <c r="G80" s="13">
        <f t="shared" si="3"/>
        <v>3.2600000000000002</v>
      </c>
      <c r="H80" s="13">
        <f t="shared" si="4"/>
        <v>3.1</v>
      </c>
      <c r="I80" s="13">
        <f t="shared" si="5"/>
        <v>38.160000000000004</v>
      </c>
      <c r="L80" s="18" t="s">
        <v>130</v>
      </c>
      <c r="M80" s="71" t="s">
        <v>268</v>
      </c>
      <c r="N80" s="68" t="s">
        <v>270</v>
      </c>
      <c r="O80" s="70">
        <v>11.22</v>
      </c>
      <c r="Q80" s="185" t="s">
        <v>130</v>
      </c>
      <c r="R80" s="185">
        <v>26</v>
      </c>
      <c r="S80" s="183" t="s">
        <v>191</v>
      </c>
      <c r="T80" s="191">
        <f t="shared" si="6"/>
        <v>18.600000000000001</v>
      </c>
      <c r="U80" s="189" t="s">
        <v>130</v>
      </c>
      <c r="V80" s="185">
        <v>26</v>
      </c>
      <c r="W80" s="183" t="s">
        <v>191</v>
      </c>
      <c r="X80" s="202">
        <f t="shared" si="7"/>
        <v>19.560000000000002</v>
      </c>
      <c r="Z80" s="675"/>
      <c r="AE80" s="97" t="s">
        <v>152</v>
      </c>
      <c r="AF80" s="234"/>
      <c r="AG80" s="36"/>
      <c r="AH80" s="120">
        <f>SUM(AH72:AH79)</f>
        <v>4.8</v>
      </c>
      <c r="AI80" s="213"/>
      <c r="AJ80" s="213"/>
      <c r="AK80" s="213"/>
    </row>
    <row r="81" spans="2:37" ht="15.75" thickBot="1">
      <c r="B81" s="23" t="s">
        <v>143</v>
      </c>
      <c r="C81" s="13" t="s">
        <v>147</v>
      </c>
      <c r="D81" s="13">
        <f>F34+F42+F44+F46</f>
        <v>6.7788999999999993</v>
      </c>
      <c r="E81" s="13">
        <v>18.5</v>
      </c>
      <c r="F81" s="13">
        <v>17.5</v>
      </c>
      <c r="G81" s="13">
        <f t="shared" si="3"/>
        <v>3.2600000000000002</v>
      </c>
      <c r="H81" s="13">
        <f t="shared" si="4"/>
        <v>3.1</v>
      </c>
      <c r="I81" s="13">
        <f t="shared" si="5"/>
        <v>101.0022</v>
      </c>
      <c r="L81" s="72" t="s">
        <v>172</v>
      </c>
      <c r="M81" s="13" t="s">
        <v>245</v>
      </c>
      <c r="N81" s="13" t="s">
        <v>246</v>
      </c>
      <c r="O81" s="69">
        <v>48.08</v>
      </c>
      <c r="Q81" s="185" t="s">
        <v>130</v>
      </c>
      <c r="R81" s="185" t="s">
        <v>147</v>
      </c>
      <c r="S81" s="183" t="s">
        <v>191</v>
      </c>
      <c r="T81" s="191">
        <f t="shared" si="6"/>
        <v>47.4711</v>
      </c>
      <c r="U81" s="189" t="s">
        <v>130</v>
      </c>
      <c r="V81" s="185" t="s">
        <v>147</v>
      </c>
      <c r="W81" s="183" t="s">
        <v>191</v>
      </c>
      <c r="X81" s="202">
        <f t="shared" si="7"/>
        <v>53.531100000000002</v>
      </c>
      <c r="Z81" s="675"/>
      <c r="AI81" s="213"/>
      <c r="AJ81" s="213"/>
      <c r="AK81" s="213"/>
    </row>
    <row r="82" spans="2:37" ht="15.75" thickBot="1">
      <c r="B82" s="23" t="s">
        <v>143</v>
      </c>
      <c r="C82" s="24">
        <v>31</v>
      </c>
      <c r="D82" s="13">
        <f>F38</f>
        <v>0</v>
      </c>
      <c r="E82" s="13">
        <v>1.1499999999999999</v>
      </c>
      <c r="F82" s="13">
        <v>1</v>
      </c>
      <c r="G82" s="13">
        <f t="shared" si="3"/>
        <v>3.2600000000000002</v>
      </c>
      <c r="H82" s="13">
        <f t="shared" si="4"/>
        <v>3.1</v>
      </c>
      <c r="I82" s="13">
        <f t="shared" si="5"/>
        <v>6.8490000000000002</v>
      </c>
      <c r="L82" s="40" t="s">
        <v>152</v>
      </c>
      <c r="M82" s="36"/>
      <c r="N82" s="36"/>
      <c r="O82" s="51">
        <f>ROUND(SUM(O66:O81),2)</f>
        <v>254.75</v>
      </c>
      <c r="Q82" s="185" t="s">
        <v>130</v>
      </c>
      <c r="R82" s="185">
        <v>31</v>
      </c>
      <c r="S82" s="183" t="s">
        <v>191</v>
      </c>
      <c r="T82" s="191">
        <f t="shared" si="6"/>
        <v>3.1</v>
      </c>
      <c r="U82" s="189" t="s">
        <v>130</v>
      </c>
      <c r="V82" s="185">
        <v>31</v>
      </c>
      <c r="W82" s="183" t="s">
        <v>191</v>
      </c>
      <c r="X82" s="202">
        <f t="shared" si="7"/>
        <v>3.7490000000000001</v>
      </c>
      <c r="Z82" s="675"/>
    </row>
    <row r="83" spans="2:37">
      <c r="B83" s="23" t="s">
        <v>143</v>
      </c>
      <c r="C83" s="24">
        <v>32</v>
      </c>
      <c r="D83" s="13">
        <f>F39</f>
        <v>0</v>
      </c>
      <c r="E83" s="13">
        <v>2.15</v>
      </c>
      <c r="F83" s="13">
        <v>2</v>
      </c>
      <c r="G83" s="13">
        <f t="shared" si="3"/>
        <v>3.2600000000000002</v>
      </c>
      <c r="H83" s="13">
        <f t="shared" si="4"/>
        <v>3.1</v>
      </c>
      <c r="I83" s="13">
        <f t="shared" si="5"/>
        <v>13.209</v>
      </c>
      <c r="L83" s="36"/>
      <c r="M83" s="36"/>
      <c r="N83" s="36"/>
      <c r="O83" s="36"/>
      <c r="Q83" s="185" t="s">
        <v>130</v>
      </c>
      <c r="R83" s="185">
        <v>32</v>
      </c>
      <c r="S83" s="183" t="s">
        <v>191</v>
      </c>
      <c r="T83" s="191">
        <f t="shared" si="6"/>
        <v>6.2</v>
      </c>
      <c r="U83" s="189" t="s">
        <v>130</v>
      </c>
      <c r="V83" s="185">
        <v>32</v>
      </c>
      <c r="W83" s="183" t="s">
        <v>191</v>
      </c>
      <c r="X83" s="202">
        <f t="shared" si="7"/>
        <v>7.0090000000000003</v>
      </c>
      <c r="Z83" s="675"/>
    </row>
    <row r="84" spans="2:37" ht="15.75" thickBot="1">
      <c r="B84" s="23" t="s">
        <v>143</v>
      </c>
      <c r="C84" s="24" t="s">
        <v>149</v>
      </c>
      <c r="D84" s="13">
        <f>F41+F43+F45</f>
        <v>9.0300000000000011</v>
      </c>
      <c r="E84" s="13">
        <v>12.1</v>
      </c>
      <c r="F84" s="13">
        <v>11.5</v>
      </c>
      <c r="G84" s="13">
        <f t="shared" si="3"/>
        <v>3.2600000000000002</v>
      </c>
      <c r="H84" s="13">
        <f t="shared" si="4"/>
        <v>3.1</v>
      </c>
      <c r="I84" s="13">
        <f t="shared" si="5"/>
        <v>57.036000000000001</v>
      </c>
      <c r="L84" s="36"/>
      <c r="M84" s="36"/>
      <c r="N84" s="36"/>
      <c r="O84" s="36"/>
      <c r="Q84" s="185" t="s">
        <v>130</v>
      </c>
      <c r="R84" s="185" t="s">
        <v>149</v>
      </c>
      <c r="S84" s="183" t="s">
        <v>191</v>
      </c>
      <c r="T84" s="191">
        <f t="shared" si="6"/>
        <v>26.619999999999997</v>
      </c>
      <c r="U84" s="189" t="s">
        <v>130</v>
      </c>
      <c r="V84" s="185" t="s">
        <v>149</v>
      </c>
      <c r="W84" s="183" t="s">
        <v>191</v>
      </c>
      <c r="X84" s="202">
        <f t="shared" si="7"/>
        <v>30.416000000000004</v>
      </c>
      <c r="Z84" s="675"/>
    </row>
    <row r="85" spans="2:37" ht="16.5" customHeight="1" thickBot="1">
      <c r="B85" s="29" t="s">
        <v>143</v>
      </c>
      <c r="C85" s="28">
        <v>33</v>
      </c>
      <c r="D85" s="26">
        <f>F40</f>
        <v>0</v>
      </c>
      <c r="E85" s="26">
        <v>1.55</v>
      </c>
      <c r="F85" s="26">
        <v>1.55</v>
      </c>
      <c r="G85" s="13">
        <f t="shared" si="3"/>
        <v>3.2600000000000002</v>
      </c>
      <c r="H85" s="13">
        <f t="shared" si="4"/>
        <v>3.1</v>
      </c>
      <c r="I85" s="13">
        <f t="shared" si="5"/>
        <v>9.8580000000000005</v>
      </c>
      <c r="J85" s="30"/>
      <c r="K85" s="30"/>
      <c r="L85" s="53" t="s">
        <v>152</v>
      </c>
      <c r="M85" s="62">
        <f>O82+I101</f>
        <v>1475.6941999999999</v>
      </c>
      <c r="Q85" s="185" t="s">
        <v>130</v>
      </c>
      <c r="R85" s="33">
        <v>33</v>
      </c>
      <c r="S85" s="183" t="s">
        <v>191</v>
      </c>
      <c r="T85" s="191">
        <f t="shared" si="6"/>
        <v>4.8050000000000006</v>
      </c>
      <c r="U85" s="189" t="s">
        <v>130</v>
      </c>
      <c r="V85" s="33">
        <v>33</v>
      </c>
      <c r="W85" s="183" t="s">
        <v>191</v>
      </c>
      <c r="X85" s="202">
        <f t="shared" si="7"/>
        <v>5.0530000000000008</v>
      </c>
      <c r="Z85" s="675"/>
    </row>
    <row r="86" spans="2:37" ht="19.5" thickBot="1">
      <c r="B86" s="23" t="s">
        <v>153</v>
      </c>
      <c r="C86" s="24">
        <v>40</v>
      </c>
      <c r="D86" s="13">
        <v>0</v>
      </c>
      <c r="E86" s="13">
        <v>3.6</v>
      </c>
      <c r="F86" s="13">
        <v>3.2</v>
      </c>
      <c r="G86" s="293">
        <f>3.4+(0.8)</f>
        <v>4.2</v>
      </c>
      <c r="H86" s="293">
        <f>3.4+(0.8)</f>
        <v>4.2</v>
      </c>
      <c r="I86" s="13">
        <f t="shared" si="5"/>
        <v>28.560000000000002</v>
      </c>
      <c r="J86" s="30"/>
      <c r="K86" s="30"/>
      <c r="L86" s="30"/>
      <c r="Q86" s="294" t="s">
        <v>410</v>
      </c>
      <c r="R86" s="295">
        <v>40</v>
      </c>
      <c r="S86" s="296" t="s">
        <v>191</v>
      </c>
      <c r="T86" s="297">
        <f t="shared" si="6"/>
        <v>13.440000000000001</v>
      </c>
      <c r="U86" s="298" t="s">
        <v>410</v>
      </c>
      <c r="V86" s="295">
        <v>40</v>
      </c>
      <c r="W86" s="296" t="s">
        <v>191</v>
      </c>
      <c r="X86" s="299">
        <f t="shared" si="7"/>
        <v>15.120000000000001</v>
      </c>
      <c r="Z86" s="675"/>
      <c r="AE86" s="671" t="s">
        <v>615</v>
      </c>
      <c r="AF86" s="672"/>
      <c r="AG86" s="672"/>
      <c r="AH86" s="673"/>
    </row>
    <row r="87" spans="2:37">
      <c r="B87" s="23" t="s">
        <v>153</v>
      </c>
      <c r="C87" s="24">
        <v>41</v>
      </c>
      <c r="D87" s="13">
        <v>0</v>
      </c>
      <c r="E87" s="13">
        <v>3.6</v>
      </c>
      <c r="F87" s="13">
        <v>3.2</v>
      </c>
      <c r="G87" s="293">
        <f t="shared" ref="G87:H89" si="9">3.4+(0.8)</f>
        <v>4.2</v>
      </c>
      <c r="H87" s="293">
        <f t="shared" si="9"/>
        <v>4.2</v>
      </c>
      <c r="I87" s="13">
        <f t="shared" si="5"/>
        <v>28.560000000000002</v>
      </c>
      <c r="J87" s="36"/>
      <c r="L87" s="572" t="s">
        <v>285</v>
      </c>
      <c r="M87" s="572"/>
      <c r="Q87" s="294" t="s">
        <v>410</v>
      </c>
      <c r="R87" s="295">
        <v>41</v>
      </c>
      <c r="S87" s="296" t="s">
        <v>191</v>
      </c>
      <c r="T87" s="297">
        <f t="shared" si="6"/>
        <v>13.440000000000001</v>
      </c>
      <c r="U87" s="298" t="s">
        <v>410</v>
      </c>
      <c r="V87" s="295">
        <v>41</v>
      </c>
      <c r="W87" s="296" t="s">
        <v>191</v>
      </c>
      <c r="X87" s="299">
        <f t="shared" si="7"/>
        <v>15.120000000000001</v>
      </c>
      <c r="Z87" s="675"/>
      <c r="AE87" s="681" t="s">
        <v>132</v>
      </c>
      <c r="AF87" s="633" t="s">
        <v>570</v>
      </c>
      <c r="AG87" s="633" t="s">
        <v>569</v>
      </c>
      <c r="AH87" s="633" t="s">
        <v>612</v>
      </c>
    </row>
    <row r="88" spans="2:37">
      <c r="B88" s="23" t="s">
        <v>153</v>
      </c>
      <c r="C88" s="24">
        <v>42</v>
      </c>
      <c r="D88" s="13">
        <v>0</v>
      </c>
      <c r="E88" s="13">
        <v>6.4</v>
      </c>
      <c r="F88" s="13">
        <v>6</v>
      </c>
      <c r="G88" s="293">
        <f t="shared" si="9"/>
        <v>4.2</v>
      </c>
      <c r="H88" s="293">
        <f t="shared" si="9"/>
        <v>4.2</v>
      </c>
      <c r="I88" s="13">
        <f t="shared" si="5"/>
        <v>52.080000000000005</v>
      </c>
      <c r="J88" s="36"/>
      <c r="Q88" s="294" t="s">
        <v>410</v>
      </c>
      <c r="R88" s="295">
        <v>42</v>
      </c>
      <c r="S88" s="296" t="s">
        <v>191</v>
      </c>
      <c r="T88" s="297">
        <f t="shared" si="6"/>
        <v>25.200000000000003</v>
      </c>
      <c r="U88" s="298" t="s">
        <v>410</v>
      </c>
      <c r="V88" s="295">
        <v>42</v>
      </c>
      <c r="W88" s="296" t="s">
        <v>191</v>
      </c>
      <c r="X88" s="299">
        <f t="shared" si="7"/>
        <v>26.880000000000003</v>
      </c>
      <c r="Z88" s="675"/>
      <c r="AE88" s="632"/>
      <c r="AF88" s="616"/>
      <c r="AG88" s="616"/>
      <c r="AH88" s="616"/>
    </row>
    <row r="89" spans="2:37">
      <c r="B89" s="23" t="s">
        <v>153</v>
      </c>
      <c r="C89" s="24">
        <v>43</v>
      </c>
      <c r="D89" s="13">
        <v>0</v>
      </c>
      <c r="E89" s="13">
        <v>6.4</v>
      </c>
      <c r="F89" s="13">
        <v>6</v>
      </c>
      <c r="G89" s="293">
        <f t="shared" si="9"/>
        <v>4.2</v>
      </c>
      <c r="H89" s="293">
        <f t="shared" si="9"/>
        <v>4.2</v>
      </c>
      <c r="I89" s="13">
        <f t="shared" si="5"/>
        <v>52.080000000000005</v>
      </c>
      <c r="J89" s="36"/>
      <c r="K89" s="36"/>
      <c r="L89" s="36"/>
      <c r="Q89" s="294" t="s">
        <v>410</v>
      </c>
      <c r="R89" s="295">
        <v>43</v>
      </c>
      <c r="S89" s="296" t="s">
        <v>191</v>
      </c>
      <c r="T89" s="297">
        <f t="shared" si="6"/>
        <v>25.200000000000003</v>
      </c>
      <c r="U89" s="298" t="s">
        <v>410</v>
      </c>
      <c r="V89" s="295">
        <v>43</v>
      </c>
      <c r="W89" s="296" t="s">
        <v>191</v>
      </c>
      <c r="X89" s="299">
        <f t="shared" si="7"/>
        <v>26.880000000000003</v>
      </c>
      <c r="Z89" s="675"/>
      <c r="AE89" s="13" t="s">
        <v>178</v>
      </c>
      <c r="AF89" s="238">
        <f>26</f>
        <v>26</v>
      </c>
      <c r="AG89" s="14">
        <f>(Q6+Q9+Q11)</f>
        <v>5.6</v>
      </c>
      <c r="AH89" s="14">
        <f>(AF89-AG89)</f>
        <v>20.399999999999999</v>
      </c>
    </row>
    <row r="90" spans="2:37">
      <c r="B90" s="23" t="s">
        <v>131</v>
      </c>
      <c r="C90" s="24">
        <v>44</v>
      </c>
      <c r="D90" s="13">
        <v>0</v>
      </c>
      <c r="E90" s="13">
        <v>1</v>
      </c>
      <c r="F90" s="13">
        <v>0.8</v>
      </c>
      <c r="G90" s="13">
        <v>1.4</v>
      </c>
      <c r="H90" s="13">
        <v>1.2</v>
      </c>
      <c r="I90" s="13">
        <f t="shared" si="5"/>
        <v>2.36</v>
      </c>
      <c r="J90" s="36"/>
      <c r="Q90" s="185" t="s">
        <v>131</v>
      </c>
      <c r="R90" s="184">
        <v>44</v>
      </c>
      <c r="S90" s="183" t="s">
        <v>191</v>
      </c>
      <c r="T90" s="191">
        <f t="shared" si="6"/>
        <v>0.96</v>
      </c>
      <c r="U90" s="189" t="s">
        <v>131</v>
      </c>
      <c r="V90" s="184">
        <v>44</v>
      </c>
      <c r="W90" s="183" t="s">
        <v>191</v>
      </c>
      <c r="X90" s="202">
        <f t="shared" si="7"/>
        <v>1.4</v>
      </c>
      <c r="Z90" s="675"/>
      <c r="AE90" s="13" t="s">
        <v>179</v>
      </c>
      <c r="AF90" s="253">
        <f>26</f>
        <v>26</v>
      </c>
      <c r="AG90" s="14">
        <f>(Q6+Q9+Q11)</f>
        <v>5.6</v>
      </c>
      <c r="AH90" s="14">
        <f>(AF90-AG90)</f>
        <v>20.399999999999999</v>
      </c>
    </row>
    <row r="91" spans="2:37">
      <c r="B91" s="23" t="s">
        <v>131</v>
      </c>
      <c r="C91" s="24">
        <v>45</v>
      </c>
      <c r="D91" s="13">
        <v>0</v>
      </c>
      <c r="E91" s="13">
        <v>4.9000000000000004</v>
      </c>
      <c r="F91" s="13">
        <v>4.5</v>
      </c>
      <c r="G91" s="13">
        <v>1.4</v>
      </c>
      <c r="H91" s="13">
        <v>1.2</v>
      </c>
      <c r="I91" s="13">
        <f t="shared" si="5"/>
        <v>12.26</v>
      </c>
      <c r="J91" s="36"/>
      <c r="Q91" s="185" t="s">
        <v>131</v>
      </c>
      <c r="R91" s="184">
        <v>45</v>
      </c>
      <c r="S91" s="183" t="s">
        <v>191</v>
      </c>
      <c r="T91" s="191">
        <f t="shared" si="6"/>
        <v>5.3999999999999995</v>
      </c>
      <c r="U91" s="189" t="s">
        <v>131</v>
      </c>
      <c r="V91" s="184">
        <v>45</v>
      </c>
      <c r="W91" s="183" t="s">
        <v>191</v>
      </c>
      <c r="X91" s="202">
        <f t="shared" si="7"/>
        <v>6.86</v>
      </c>
      <c r="Z91" s="675"/>
      <c r="AE91" s="13" t="s">
        <v>351</v>
      </c>
      <c r="AF91" s="13">
        <f>22</f>
        <v>22</v>
      </c>
      <c r="AG91" s="14">
        <f>Q6</f>
        <v>0.8</v>
      </c>
      <c r="AH91" s="14">
        <f>(AF91-AG91)</f>
        <v>21.2</v>
      </c>
    </row>
    <row r="92" spans="2:37">
      <c r="B92" s="23" t="s">
        <v>131</v>
      </c>
      <c r="C92" s="24">
        <v>46</v>
      </c>
      <c r="D92" s="13">
        <v>0</v>
      </c>
      <c r="E92" s="13">
        <v>20.5</v>
      </c>
      <c r="F92" s="13">
        <v>20.100000000000001</v>
      </c>
      <c r="G92" s="13">
        <v>1.4</v>
      </c>
      <c r="H92" s="13">
        <v>1.2</v>
      </c>
      <c r="I92" s="13">
        <f t="shared" si="5"/>
        <v>52.82</v>
      </c>
      <c r="J92" s="36"/>
      <c r="Q92" s="185" t="s">
        <v>131</v>
      </c>
      <c r="R92" s="184">
        <v>46</v>
      </c>
      <c r="S92" s="183" t="s">
        <v>191</v>
      </c>
      <c r="T92" s="191">
        <f t="shared" si="6"/>
        <v>24.12</v>
      </c>
      <c r="U92" s="189" t="s">
        <v>131</v>
      </c>
      <c r="V92" s="184">
        <v>46</v>
      </c>
      <c r="W92" s="183" t="s">
        <v>191</v>
      </c>
      <c r="X92" s="202">
        <f t="shared" si="7"/>
        <v>28.7</v>
      </c>
      <c r="Z92" s="675"/>
      <c r="AE92" s="97" t="s">
        <v>152</v>
      </c>
      <c r="AF92" s="234"/>
      <c r="AG92" s="36"/>
      <c r="AH92" s="120">
        <f>SUM(AH89:AH91)*1.1</f>
        <v>68.2</v>
      </c>
    </row>
    <row r="93" spans="2:37">
      <c r="B93" s="23" t="s">
        <v>131</v>
      </c>
      <c r="C93" s="24">
        <v>47</v>
      </c>
      <c r="D93" s="13">
        <v>0</v>
      </c>
      <c r="E93" s="13">
        <v>31.3</v>
      </c>
      <c r="F93" s="13">
        <v>30.9</v>
      </c>
      <c r="G93" s="13">
        <v>1.4</v>
      </c>
      <c r="H93" s="13">
        <v>1.2</v>
      </c>
      <c r="I93" s="13">
        <f t="shared" si="5"/>
        <v>80.900000000000006</v>
      </c>
      <c r="J93" s="36"/>
      <c r="Q93" s="185" t="s">
        <v>131</v>
      </c>
      <c r="R93" s="184">
        <v>47</v>
      </c>
      <c r="S93" s="183" t="s">
        <v>191</v>
      </c>
      <c r="T93" s="191">
        <f t="shared" si="6"/>
        <v>37.08</v>
      </c>
      <c r="U93" s="189" t="s">
        <v>131</v>
      </c>
      <c r="V93" s="184">
        <v>47</v>
      </c>
      <c r="W93" s="183" t="s">
        <v>191</v>
      </c>
      <c r="X93" s="202">
        <f t="shared" si="7"/>
        <v>43.82</v>
      </c>
      <c r="Z93" s="675"/>
    </row>
    <row r="94" spans="2:37" ht="15.75" thickBot="1">
      <c r="B94" s="23" t="s">
        <v>131</v>
      </c>
      <c r="C94" s="24">
        <v>48</v>
      </c>
      <c r="D94" s="13">
        <v>0</v>
      </c>
      <c r="E94" s="13">
        <v>7.4</v>
      </c>
      <c r="F94" s="13">
        <v>7</v>
      </c>
      <c r="G94" s="13">
        <v>1.4</v>
      </c>
      <c r="H94" s="13">
        <v>1.2</v>
      </c>
      <c r="I94" s="13">
        <f t="shared" si="5"/>
        <v>18.759999999999998</v>
      </c>
      <c r="J94" s="36"/>
      <c r="Q94" s="185" t="s">
        <v>131</v>
      </c>
      <c r="R94" s="184">
        <v>48</v>
      </c>
      <c r="S94" s="183" t="s">
        <v>191</v>
      </c>
      <c r="T94" s="191">
        <f t="shared" si="6"/>
        <v>8.4</v>
      </c>
      <c r="U94" s="189" t="s">
        <v>131</v>
      </c>
      <c r="V94" s="184">
        <v>48</v>
      </c>
      <c r="W94" s="183" t="s">
        <v>191</v>
      </c>
      <c r="X94" s="202">
        <f t="shared" si="7"/>
        <v>10.36</v>
      </c>
      <c r="Z94" s="675"/>
    </row>
    <row r="95" spans="2:37" ht="19.5" thickBot="1">
      <c r="B95" s="29" t="s">
        <v>131</v>
      </c>
      <c r="C95" s="28">
        <v>49</v>
      </c>
      <c r="D95" s="26">
        <v>0</v>
      </c>
      <c r="E95" s="26">
        <v>1</v>
      </c>
      <c r="F95" s="26">
        <v>0.8</v>
      </c>
      <c r="G95" s="26">
        <v>1.4</v>
      </c>
      <c r="H95" s="26">
        <v>1.2</v>
      </c>
      <c r="I95" s="13">
        <f t="shared" si="5"/>
        <v>2.36</v>
      </c>
      <c r="J95" s="36"/>
      <c r="K95" s="36"/>
      <c r="L95" s="36"/>
      <c r="Q95" s="185" t="s">
        <v>131</v>
      </c>
      <c r="R95" s="28">
        <v>49</v>
      </c>
      <c r="S95" s="183" t="s">
        <v>191</v>
      </c>
      <c r="T95" s="191">
        <f t="shared" si="6"/>
        <v>0.96</v>
      </c>
      <c r="U95" s="189" t="s">
        <v>131</v>
      </c>
      <c r="V95" s="28">
        <v>49</v>
      </c>
      <c r="W95" s="183" t="s">
        <v>191</v>
      </c>
      <c r="X95" s="202">
        <f t="shared" si="7"/>
        <v>1.4</v>
      </c>
      <c r="Z95" s="675"/>
      <c r="AE95" s="671" t="s">
        <v>616</v>
      </c>
      <c r="AF95" s="672"/>
      <c r="AG95" s="672"/>
      <c r="AH95" s="673"/>
    </row>
    <row r="96" spans="2:37" ht="15" customHeight="1">
      <c r="B96" s="192" t="s">
        <v>281</v>
      </c>
      <c r="C96" s="24">
        <v>50</v>
      </c>
      <c r="D96" s="17">
        <v>0</v>
      </c>
      <c r="E96" s="13">
        <v>3.85</v>
      </c>
      <c r="F96" s="13">
        <v>3.4</v>
      </c>
      <c r="G96" s="13">
        <v>3.2</v>
      </c>
      <c r="H96" s="13">
        <v>3.2</v>
      </c>
      <c r="I96" s="13">
        <f t="shared" si="5"/>
        <v>23.200000000000003</v>
      </c>
      <c r="J96" s="36"/>
      <c r="K96" s="36"/>
      <c r="L96" s="36"/>
      <c r="Q96" s="183" t="s">
        <v>411</v>
      </c>
      <c r="R96" s="184">
        <v>50</v>
      </c>
      <c r="S96" s="183" t="s">
        <v>191</v>
      </c>
      <c r="T96" s="191">
        <f t="shared" si="6"/>
        <v>10.88</v>
      </c>
      <c r="U96" s="190" t="s">
        <v>411</v>
      </c>
      <c r="V96" s="184">
        <v>50</v>
      </c>
      <c r="W96" s="183" t="s">
        <v>191</v>
      </c>
      <c r="X96" s="202">
        <f t="shared" si="7"/>
        <v>12.32</v>
      </c>
      <c r="Z96" s="675"/>
      <c r="AE96" s="681" t="s">
        <v>132</v>
      </c>
      <c r="AF96" s="633" t="s">
        <v>570</v>
      </c>
      <c r="AG96" s="633" t="s">
        <v>569</v>
      </c>
      <c r="AH96" s="633" t="s">
        <v>613</v>
      </c>
    </row>
    <row r="97" spans="2:34">
      <c r="B97" s="192" t="s">
        <v>281</v>
      </c>
      <c r="C97" s="24">
        <v>51</v>
      </c>
      <c r="D97" s="17">
        <v>1.9800000000000002</v>
      </c>
      <c r="E97" s="13">
        <v>3</v>
      </c>
      <c r="F97" s="13">
        <v>2.7</v>
      </c>
      <c r="G97" s="13">
        <v>3.2</v>
      </c>
      <c r="H97" s="13">
        <v>3.2</v>
      </c>
      <c r="I97" s="13">
        <f t="shared" si="5"/>
        <v>14.280000000000001</v>
      </c>
      <c r="J97" s="36"/>
      <c r="K97" s="36"/>
      <c r="L97" s="36"/>
      <c r="Q97" s="183" t="s">
        <v>411</v>
      </c>
      <c r="R97" s="184">
        <v>51</v>
      </c>
      <c r="S97" s="183" t="s">
        <v>191</v>
      </c>
      <c r="T97" s="191">
        <f t="shared" si="6"/>
        <v>6.66</v>
      </c>
      <c r="U97" s="190" t="s">
        <v>411</v>
      </c>
      <c r="V97" s="184">
        <v>51</v>
      </c>
      <c r="W97" s="183" t="s">
        <v>191</v>
      </c>
      <c r="X97" s="202">
        <f t="shared" si="7"/>
        <v>7.620000000000001</v>
      </c>
      <c r="Z97" s="675"/>
      <c r="AE97" s="632"/>
      <c r="AF97" s="616"/>
      <c r="AG97" s="616"/>
      <c r="AH97" s="616"/>
    </row>
    <row r="98" spans="2:34">
      <c r="B98" s="192" t="s">
        <v>281</v>
      </c>
      <c r="C98" s="24">
        <v>52</v>
      </c>
      <c r="D98" s="17">
        <v>0</v>
      </c>
      <c r="E98" s="13">
        <v>2.7</v>
      </c>
      <c r="F98" s="13">
        <v>2.7</v>
      </c>
      <c r="G98" s="13">
        <v>3.2</v>
      </c>
      <c r="H98" s="13">
        <v>3.2</v>
      </c>
      <c r="I98" s="13">
        <f t="shared" si="5"/>
        <v>17.28</v>
      </c>
      <c r="J98" s="36"/>
      <c r="K98" s="36"/>
      <c r="L98" s="36"/>
      <c r="Q98" s="183" t="s">
        <v>411</v>
      </c>
      <c r="R98" s="184">
        <v>52</v>
      </c>
      <c r="S98" s="183" t="s">
        <v>191</v>
      </c>
      <c r="T98" s="191">
        <f t="shared" si="6"/>
        <v>8.64</v>
      </c>
      <c r="U98" s="190" t="s">
        <v>411</v>
      </c>
      <c r="V98" s="184">
        <v>52</v>
      </c>
      <c r="W98" s="183" t="s">
        <v>191</v>
      </c>
      <c r="X98" s="202">
        <f t="shared" si="7"/>
        <v>8.64</v>
      </c>
      <c r="Z98" s="675"/>
      <c r="AE98" s="13" t="s">
        <v>176</v>
      </c>
      <c r="AF98" s="238">
        <v>10</v>
      </c>
      <c r="AG98" s="14">
        <f>Q6+Q21</f>
        <v>1.6</v>
      </c>
      <c r="AH98" s="14">
        <f t="shared" ref="AH98:AH103" si="10">(AF98-AG98)</f>
        <v>8.4</v>
      </c>
    </row>
    <row r="99" spans="2:34">
      <c r="B99" s="192" t="s">
        <v>281</v>
      </c>
      <c r="C99" s="24">
        <v>53</v>
      </c>
      <c r="D99" s="17">
        <v>1.9800000000000002</v>
      </c>
      <c r="E99" s="13">
        <v>3</v>
      </c>
      <c r="F99" s="13">
        <v>2.7</v>
      </c>
      <c r="G99" s="13">
        <v>3.2</v>
      </c>
      <c r="H99" s="13">
        <v>3.2</v>
      </c>
      <c r="I99" s="13">
        <f t="shared" si="5"/>
        <v>14.280000000000001</v>
      </c>
      <c r="J99" s="36"/>
      <c r="K99" s="36"/>
      <c r="L99" s="36"/>
      <c r="Q99" s="183" t="s">
        <v>411</v>
      </c>
      <c r="R99" s="184">
        <v>53</v>
      </c>
      <c r="S99" s="183" t="s">
        <v>191</v>
      </c>
      <c r="T99" s="191">
        <f t="shared" si="6"/>
        <v>6.66</v>
      </c>
      <c r="U99" s="190" t="s">
        <v>411</v>
      </c>
      <c r="V99" s="184">
        <v>53</v>
      </c>
      <c r="W99" s="183" t="s">
        <v>191</v>
      </c>
      <c r="X99" s="202">
        <f t="shared" si="7"/>
        <v>7.620000000000001</v>
      </c>
      <c r="Z99" s="675"/>
      <c r="AE99" s="13" t="s">
        <v>177</v>
      </c>
      <c r="AF99" s="13">
        <v>11.7</v>
      </c>
      <c r="AG99" s="14">
        <f>Q6*2</f>
        <v>1.6</v>
      </c>
      <c r="AH99" s="14">
        <f t="shared" si="10"/>
        <v>10.1</v>
      </c>
    </row>
    <row r="100" spans="2:34" ht="15.75" thickBot="1">
      <c r="B100" s="192" t="s">
        <v>281</v>
      </c>
      <c r="C100" s="24">
        <v>54</v>
      </c>
      <c r="D100" s="17">
        <v>0</v>
      </c>
      <c r="E100" s="13">
        <v>3.85</v>
      </c>
      <c r="F100" s="13">
        <v>3.4</v>
      </c>
      <c r="G100" s="13">
        <v>3.2</v>
      </c>
      <c r="H100" s="13">
        <v>3.2</v>
      </c>
      <c r="I100" s="13">
        <f t="shared" si="5"/>
        <v>23.200000000000003</v>
      </c>
      <c r="J100" s="36"/>
      <c r="K100" s="36"/>
      <c r="L100" s="36"/>
      <c r="Q100" s="183" t="s">
        <v>411</v>
      </c>
      <c r="R100" s="184">
        <v>54</v>
      </c>
      <c r="S100" s="183" t="s">
        <v>191</v>
      </c>
      <c r="T100" s="191">
        <f t="shared" si="6"/>
        <v>10.88</v>
      </c>
      <c r="U100" s="190" t="s">
        <v>411</v>
      </c>
      <c r="V100" s="184">
        <v>54</v>
      </c>
      <c r="W100" s="183" t="s">
        <v>191</v>
      </c>
      <c r="X100" s="202">
        <f t="shared" si="7"/>
        <v>12.32</v>
      </c>
      <c r="Z100" s="675"/>
      <c r="AE100" s="13" t="s">
        <v>269</v>
      </c>
      <c r="AF100" s="13">
        <v>11.7</v>
      </c>
      <c r="AG100" s="14">
        <f>Q6</f>
        <v>0.8</v>
      </c>
      <c r="AH100" s="14">
        <f t="shared" si="10"/>
        <v>10.899999999999999</v>
      </c>
    </row>
    <row r="101" spans="2:34" ht="15.75" thickBot="1">
      <c r="B101" s="78" t="s">
        <v>154</v>
      </c>
      <c r="I101" s="27">
        <f>SUM(I66:I100)</f>
        <v>1220.9441999999999</v>
      </c>
      <c r="J101" s="36"/>
      <c r="Q101" s="193" t="s">
        <v>154</v>
      </c>
      <c r="R101" s="98" t="s">
        <v>15</v>
      </c>
      <c r="S101" s="98" t="s">
        <v>15</v>
      </c>
      <c r="T101" s="196">
        <f>(SUM(T66:T100))-AC74</f>
        <v>305.19999999999993</v>
      </c>
      <c r="U101" s="194" t="s">
        <v>154</v>
      </c>
      <c r="V101" s="193" t="s">
        <v>15</v>
      </c>
      <c r="W101" s="98" t="s">
        <v>15</v>
      </c>
      <c r="X101" s="120">
        <f>SUM(X66:X100)-AJ66</f>
        <v>544.02810000000022</v>
      </c>
      <c r="Z101" s="676"/>
      <c r="AE101" s="13" t="s">
        <v>611</v>
      </c>
      <c r="AF101" s="13">
        <v>13.4</v>
      </c>
      <c r="AG101" s="14">
        <f>Q6*2+Q7</f>
        <v>2.2999999999999998</v>
      </c>
      <c r="AH101" s="14">
        <f t="shared" si="10"/>
        <v>11.100000000000001</v>
      </c>
    </row>
    <row r="102" spans="2:34">
      <c r="J102" s="36"/>
      <c r="Q102" s="195" t="s">
        <v>412</v>
      </c>
      <c r="R102" s="13"/>
      <c r="S102" s="13"/>
      <c r="T102" s="197">
        <f>O82</f>
        <v>254.75</v>
      </c>
      <c r="U102" s="36"/>
      <c r="V102" s="36"/>
      <c r="W102" s="36"/>
      <c r="X102" s="36"/>
      <c r="AE102" s="13" t="s">
        <v>181</v>
      </c>
      <c r="AF102" s="13">
        <v>11</v>
      </c>
      <c r="AG102" s="14">
        <f>Q6+Q9</f>
        <v>1.6</v>
      </c>
      <c r="AH102" s="14">
        <f t="shared" si="10"/>
        <v>9.4</v>
      </c>
    </row>
    <row r="103" spans="2:34" ht="15" customHeight="1">
      <c r="B103" s="658" t="s">
        <v>251</v>
      </c>
      <c r="C103" s="659"/>
      <c r="D103" s="660"/>
      <c r="E103" s="22"/>
      <c r="J103" s="36"/>
      <c r="Q103" s="195" t="s">
        <v>413</v>
      </c>
      <c r="R103" s="13"/>
      <c r="S103" s="13"/>
      <c r="T103" s="197">
        <f>T101+T102</f>
        <v>559.94999999999993</v>
      </c>
      <c r="U103" s="36"/>
      <c r="V103" s="36"/>
      <c r="W103" s="36"/>
      <c r="X103" s="36"/>
      <c r="AE103" s="13" t="s">
        <v>182</v>
      </c>
      <c r="AF103" s="13">
        <v>10</v>
      </c>
      <c r="AG103" s="14">
        <f>Q6</f>
        <v>0.8</v>
      </c>
      <c r="AH103" s="14">
        <f t="shared" si="10"/>
        <v>9.1999999999999993</v>
      </c>
    </row>
    <row r="104" spans="2:34" ht="19.5" customHeight="1">
      <c r="B104" s="661"/>
      <c r="C104" s="662"/>
      <c r="D104" s="663"/>
      <c r="E104" s="22"/>
      <c r="J104" s="36"/>
      <c r="U104" s="670" t="s">
        <v>793</v>
      </c>
      <c r="V104" s="670"/>
      <c r="W104" s="670"/>
      <c r="X104" s="13">
        <f>69.97</f>
        <v>69.97</v>
      </c>
      <c r="AE104" s="97" t="s">
        <v>152</v>
      </c>
      <c r="AF104" s="234"/>
      <c r="AG104" s="36"/>
      <c r="AH104" s="256">
        <f>SUM(AH98:AH103)</f>
        <v>59.099999999999994</v>
      </c>
    </row>
    <row r="105" spans="2:34">
      <c r="Q105" s="120" t="s">
        <v>414</v>
      </c>
      <c r="R105" s="120">
        <f>(T103+X101)</f>
        <v>1103.9781000000003</v>
      </c>
      <c r="AH105" s="254"/>
    </row>
    <row r="107" spans="2:34" ht="15.75" thickBot="1">
      <c r="B107" s="77" t="s">
        <v>284</v>
      </c>
      <c r="I107" s="651" t="s">
        <v>284</v>
      </c>
      <c r="J107" s="651"/>
    </row>
    <row r="108" spans="2:34" ht="15.75" thickBot="1">
      <c r="B108" s="641" t="s">
        <v>591</v>
      </c>
      <c r="C108" s="642"/>
      <c r="D108" s="642"/>
      <c r="E108" s="643"/>
      <c r="F108" s="31"/>
      <c r="G108" s="31"/>
      <c r="H108" s="43" t="s">
        <v>174</v>
      </c>
      <c r="I108" s="652" t="s">
        <v>189</v>
      </c>
      <c r="J108" s="653"/>
      <c r="K108" s="653"/>
      <c r="L108" s="653"/>
      <c r="M108" s="654"/>
      <c r="N108" s="31"/>
      <c r="O108" s="641" t="s">
        <v>155</v>
      </c>
      <c r="P108" s="642"/>
      <c r="Q108" s="642"/>
      <c r="R108" s="643"/>
      <c r="S108" s="31"/>
      <c r="T108" s="31"/>
      <c r="U108" s="31"/>
      <c r="V108" s="31"/>
      <c r="W108" s="31"/>
      <c r="X108" s="31"/>
      <c r="Y108" s="31"/>
      <c r="Z108" s="31"/>
    </row>
    <row r="109" spans="2:34" ht="15" customHeight="1">
      <c r="B109" s="639" t="s">
        <v>592</v>
      </c>
      <c r="C109" s="639" t="s">
        <v>156</v>
      </c>
      <c r="D109" s="639" t="s">
        <v>243</v>
      </c>
      <c r="E109" s="637" t="s">
        <v>244</v>
      </c>
      <c r="F109" s="36"/>
      <c r="G109" s="31"/>
      <c r="H109" s="43"/>
      <c r="I109" s="41" t="s">
        <v>184</v>
      </c>
      <c r="J109" s="54" t="s">
        <v>185</v>
      </c>
      <c r="K109" s="56" t="s">
        <v>186</v>
      </c>
      <c r="L109" s="60" t="s">
        <v>187</v>
      </c>
      <c r="M109" s="58"/>
      <c r="N109" s="31"/>
      <c r="O109" s="639" t="s">
        <v>590</v>
      </c>
      <c r="P109" s="639" t="s">
        <v>156</v>
      </c>
      <c r="Q109" s="639" t="s">
        <v>243</v>
      </c>
      <c r="R109" s="637"/>
      <c r="S109" s="31"/>
      <c r="T109" s="31"/>
      <c r="U109" s="31"/>
      <c r="V109" s="31"/>
      <c r="W109" s="31"/>
      <c r="X109" s="31"/>
      <c r="Y109" s="31"/>
      <c r="Z109" s="31"/>
    </row>
    <row r="110" spans="2:34" ht="15" customHeight="1">
      <c r="B110" s="640"/>
      <c r="C110" s="640"/>
      <c r="D110" s="640"/>
      <c r="E110" s="638"/>
      <c r="F110" s="36"/>
      <c r="G110" s="31"/>
      <c r="H110" s="43"/>
      <c r="I110" s="42"/>
      <c r="J110" s="55"/>
      <c r="K110" s="57"/>
      <c r="L110" s="61"/>
      <c r="M110" s="59"/>
      <c r="N110" s="31"/>
      <c r="O110" s="640"/>
      <c r="P110" s="640"/>
      <c r="Q110" s="640"/>
      <c r="R110" s="638"/>
      <c r="S110" s="31"/>
      <c r="T110" s="31"/>
      <c r="U110" s="31"/>
      <c r="V110" s="31"/>
      <c r="W110" s="31"/>
      <c r="X110" s="31"/>
      <c r="Y110" s="31"/>
      <c r="Z110" s="31"/>
    </row>
    <row r="111" spans="2:34">
      <c r="B111" s="20" t="s">
        <v>198</v>
      </c>
      <c r="C111" s="14">
        <f>0.86</f>
        <v>0.86</v>
      </c>
      <c r="D111" s="14">
        <v>1.3</v>
      </c>
      <c r="E111" s="14">
        <f>C111+D111</f>
        <v>2.16</v>
      </c>
      <c r="F111" s="36"/>
      <c r="I111" s="11" t="s">
        <v>198</v>
      </c>
      <c r="J111" s="13" t="s">
        <v>190</v>
      </c>
      <c r="K111" s="25">
        <v>2.5</v>
      </c>
      <c r="L111" s="47">
        <v>1.55</v>
      </c>
      <c r="M111" s="14"/>
      <c r="O111" s="20" t="s">
        <v>205</v>
      </c>
      <c r="P111" s="249">
        <v>0.86</v>
      </c>
      <c r="Q111" s="14">
        <v>0</v>
      </c>
      <c r="R111" s="14"/>
    </row>
    <row r="112" spans="2:34">
      <c r="B112" s="20" t="s">
        <v>199</v>
      </c>
      <c r="C112" s="14">
        <v>0</v>
      </c>
      <c r="D112" s="14">
        <v>1.7</v>
      </c>
      <c r="E112" s="14">
        <f t="shared" ref="E112:E154" si="11">C112+D112</f>
        <v>1.7</v>
      </c>
      <c r="F112" s="36"/>
      <c r="I112" s="11" t="s">
        <v>199</v>
      </c>
      <c r="J112" s="13" t="s">
        <v>119</v>
      </c>
      <c r="K112" s="25">
        <v>3.35</v>
      </c>
      <c r="L112" s="47">
        <v>3.35</v>
      </c>
      <c r="M112" s="14"/>
      <c r="O112" s="20" t="s">
        <v>213</v>
      </c>
      <c r="P112" s="249">
        <v>0.86</v>
      </c>
      <c r="Q112" s="14">
        <v>0</v>
      </c>
      <c r="R112" s="14"/>
    </row>
    <row r="113" spans="2:18">
      <c r="B113" s="20" t="s">
        <v>200</v>
      </c>
      <c r="C113" s="14">
        <v>4.0999999999999996</v>
      </c>
      <c r="D113" s="14">
        <v>0</v>
      </c>
      <c r="E113" s="14">
        <f t="shared" si="11"/>
        <v>4.0999999999999996</v>
      </c>
      <c r="F113" s="36"/>
      <c r="I113" s="11" t="s">
        <v>200</v>
      </c>
      <c r="J113" s="13" t="s">
        <v>118</v>
      </c>
      <c r="K113" s="25">
        <v>6.75</v>
      </c>
      <c r="L113" s="47">
        <v>0</v>
      </c>
      <c r="M113" s="14"/>
      <c r="O113" s="20" t="s">
        <v>218</v>
      </c>
      <c r="P113" s="249">
        <v>0.86</v>
      </c>
      <c r="Q113" s="14">
        <v>0</v>
      </c>
      <c r="R113" s="14"/>
    </row>
    <row r="114" spans="2:18">
      <c r="B114" s="20" t="s">
        <v>201</v>
      </c>
      <c r="C114" s="14">
        <v>0</v>
      </c>
      <c r="D114" s="239">
        <f>4*0.7</f>
        <v>2.8</v>
      </c>
      <c r="E114" s="14">
        <f t="shared" si="11"/>
        <v>2.8</v>
      </c>
      <c r="F114" s="36"/>
      <c r="I114" s="11" t="s">
        <v>201</v>
      </c>
      <c r="J114" s="13" t="s">
        <v>124</v>
      </c>
      <c r="K114" s="25">
        <v>3.3</v>
      </c>
      <c r="L114" s="47">
        <v>3.3</v>
      </c>
      <c r="M114" s="14"/>
      <c r="O114" s="20" t="s">
        <v>220</v>
      </c>
      <c r="P114" s="249">
        <v>0.86</v>
      </c>
      <c r="Q114" s="249">
        <v>2.1</v>
      </c>
      <c r="R114" s="14"/>
    </row>
    <row r="115" spans="2:18">
      <c r="B115" s="20" t="s">
        <v>202</v>
      </c>
      <c r="C115" s="14">
        <f>4.1</f>
        <v>4.0999999999999996</v>
      </c>
      <c r="D115" s="14">
        <v>0</v>
      </c>
      <c r="E115" s="14">
        <f t="shared" si="11"/>
        <v>4.0999999999999996</v>
      </c>
      <c r="F115" s="36"/>
      <c r="I115" s="11" t="s">
        <v>202</v>
      </c>
      <c r="J115" s="13" t="s">
        <v>118</v>
      </c>
      <c r="K115" s="25">
        <v>6.95</v>
      </c>
      <c r="L115" s="47">
        <v>0</v>
      </c>
      <c r="M115" s="14"/>
      <c r="O115" s="20" t="s">
        <v>222</v>
      </c>
      <c r="P115" s="249">
        <v>0.86</v>
      </c>
      <c r="Q115" s="249">
        <v>2.1</v>
      </c>
      <c r="R115" s="14"/>
    </row>
    <row r="116" spans="2:18">
      <c r="B116" s="20" t="s">
        <v>203</v>
      </c>
      <c r="C116" s="14">
        <v>0</v>
      </c>
      <c r="D116" s="14">
        <f>3.1</f>
        <v>3.1</v>
      </c>
      <c r="E116" s="14">
        <f t="shared" si="11"/>
        <v>3.1</v>
      </c>
      <c r="F116" s="36"/>
      <c r="I116" s="11" t="s">
        <v>203</v>
      </c>
      <c r="J116" s="13" t="s">
        <v>121</v>
      </c>
      <c r="K116" s="25">
        <v>5</v>
      </c>
      <c r="L116" s="47">
        <v>5</v>
      </c>
      <c r="M116" s="14"/>
      <c r="O116" s="20" t="s">
        <v>227</v>
      </c>
      <c r="P116" s="249">
        <v>0.76</v>
      </c>
      <c r="Q116" s="14">
        <v>0</v>
      </c>
      <c r="R116" s="14"/>
    </row>
    <row r="117" spans="2:18" ht="15.75" thickBot="1">
      <c r="B117" s="20" t="s">
        <v>204</v>
      </c>
      <c r="C117" s="14">
        <v>0</v>
      </c>
      <c r="D117" s="14">
        <v>0</v>
      </c>
      <c r="E117" s="14">
        <f t="shared" si="11"/>
        <v>0</v>
      </c>
      <c r="F117" s="36"/>
      <c r="I117" s="11" t="s">
        <v>204</v>
      </c>
      <c r="J117" s="13" t="s">
        <v>192</v>
      </c>
      <c r="K117" s="25">
        <v>0</v>
      </c>
      <c r="L117" s="47">
        <v>0</v>
      </c>
      <c r="M117" s="14"/>
      <c r="O117" s="80" t="s">
        <v>152</v>
      </c>
      <c r="P117" s="252">
        <f>SUM(P111:P116)</f>
        <v>5.0599999999999996</v>
      </c>
      <c r="Q117" s="252">
        <f>SUM(Q111:Q116)</f>
        <v>4.2</v>
      </c>
      <c r="R117" s="82"/>
    </row>
    <row r="118" spans="2:18">
      <c r="B118" s="251" t="s">
        <v>593</v>
      </c>
      <c r="C118" s="250"/>
      <c r="D118" s="250"/>
      <c r="E118" s="250"/>
      <c r="F118" s="36"/>
      <c r="I118" s="11" t="s">
        <v>205</v>
      </c>
      <c r="J118" s="13" t="s">
        <v>188</v>
      </c>
      <c r="K118" s="25">
        <v>1.48</v>
      </c>
      <c r="L118" s="47">
        <v>0</v>
      </c>
      <c r="M118" s="14"/>
    </row>
    <row r="119" spans="2:18">
      <c r="B119" s="20" t="s">
        <v>206</v>
      </c>
      <c r="C119" s="14">
        <v>0.86</v>
      </c>
      <c r="D119" s="14">
        <v>1.3</v>
      </c>
      <c r="E119" s="14">
        <f t="shared" si="11"/>
        <v>2.16</v>
      </c>
      <c r="F119" s="36"/>
      <c r="I119" s="11" t="s">
        <v>206</v>
      </c>
      <c r="J119" s="13" t="s">
        <v>190</v>
      </c>
      <c r="K119" s="25">
        <v>2.5</v>
      </c>
      <c r="L119" s="47">
        <v>1.55</v>
      </c>
      <c r="M119" s="14"/>
    </row>
    <row r="120" spans="2:18">
      <c r="B120" s="20" t="s">
        <v>207</v>
      </c>
      <c r="C120" s="14">
        <v>0.86</v>
      </c>
      <c r="D120" s="14">
        <v>1.7</v>
      </c>
      <c r="E120" s="14">
        <f t="shared" si="11"/>
        <v>2.56</v>
      </c>
      <c r="F120" s="36"/>
      <c r="I120" s="11" t="s">
        <v>207</v>
      </c>
      <c r="J120" s="13" t="s">
        <v>193</v>
      </c>
      <c r="K120" s="25">
        <v>3.3</v>
      </c>
      <c r="L120" s="47">
        <v>2.35</v>
      </c>
      <c r="M120" s="14"/>
    </row>
    <row r="121" spans="2:18">
      <c r="B121" s="20" t="s">
        <v>208</v>
      </c>
      <c r="C121" s="14">
        <v>0.86</v>
      </c>
      <c r="D121" s="14">
        <f>0.7+4.3</f>
        <v>5</v>
      </c>
      <c r="E121" s="14">
        <f t="shared" si="11"/>
        <v>5.86</v>
      </c>
      <c r="F121" s="36"/>
      <c r="I121" s="11" t="s">
        <v>208</v>
      </c>
      <c r="J121" s="13" t="s">
        <v>195</v>
      </c>
      <c r="K121" s="25">
        <v>6.95</v>
      </c>
      <c r="L121" s="47">
        <v>6.05</v>
      </c>
      <c r="M121" s="14"/>
    </row>
    <row r="122" spans="2:18">
      <c r="B122" s="20" t="s">
        <v>209</v>
      </c>
      <c r="C122" s="14">
        <v>0.86</v>
      </c>
      <c r="D122" s="14">
        <v>1.2</v>
      </c>
      <c r="E122" s="14">
        <f t="shared" si="11"/>
        <v>2.06</v>
      </c>
      <c r="F122" s="36"/>
      <c r="I122" s="11" t="s">
        <v>209</v>
      </c>
      <c r="J122" s="13" t="s">
        <v>194</v>
      </c>
      <c r="K122" s="25">
        <v>3.3</v>
      </c>
      <c r="L122" s="47">
        <v>2.35</v>
      </c>
      <c r="M122" s="14"/>
    </row>
    <row r="123" spans="2:18">
      <c r="B123" s="20" t="s">
        <v>210</v>
      </c>
      <c r="C123" s="14">
        <v>0.86</v>
      </c>
      <c r="D123" s="14">
        <v>4.3</v>
      </c>
      <c r="E123" s="14">
        <f t="shared" si="11"/>
        <v>5.16</v>
      </c>
      <c r="F123" s="36"/>
      <c r="I123" s="11" t="s">
        <v>210</v>
      </c>
      <c r="J123" s="13" t="s">
        <v>196</v>
      </c>
      <c r="K123" s="25">
        <v>7</v>
      </c>
      <c r="L123" s="47">
        <v>6.05</v>
      </c>
      <c r="M123" s="14"/>
    </row>
    <row r="124" spans="2:18">
      <c r="B124" s="20" t="s">
        <v>211</v>
      </c>
      <c r="C124" s="14">
        <v>0.86</v>
      </c>
      <c r="D124" s="14">
        <v>0</v>
      </c>
      <c r="E124" s="14">
        <f t="shared" si="11"/>
        <v>0.86</v>
      </c>
      <c r="F124" s="36"/>
      <c r="I124" s="11" t="s">
        <v>211</v>
      </c>
      <c r="J124" s="13" t="s">
        <v>188</v>
      </c>
      <c r="K124" s="25">
        <v>1.3</v>
      </c>
      <c r="L124" s="47">
        <v>0</v>
      </c>
      <c r="M124" s="14"/>
    </row>
    <row r="125" spans="2:18">
      <c r="B125" s="20" t="s">
        <v>212</v>
      </c>
      <c r="C125" s="14">
        <v>0</v>
      </c>
      <c r="D125" s="14">
        <v>0</v>
      </c>
      <c r="E125" s="14">
        <f t="shared" si="11"/>
        <v>0</v>
      </c>
      <c r="F125" s="36"/>
      <c r="I125" s="11" t="s">
        <v>212</v>
      </c>
      <c r="J125" s="13" t="s">
        <v>192</v>
      </c>
      <c r="K125" s="47">
        <v>0</v>
      </c>
      <c r="L125" s="47">
        <v>0</v>
      </c>
      <c r="M125" s="14"/>
    </row>
    <row r="126" spans="2:18">
      <c r="B126" s="251" t="s">
        <v>593</v>
      </c>
      <c r="C126" s="250"/>
      <c r="D126" s="250"/>
      <c r="E126" s="250"/>
      <c r="F126" s="36"/>
      <c r="I126" s="11" t="s">
        <v>213</v>
      </c>
      <c r="J126" s="13" t="s">
        <v>197</v>
      </c>
      <c r="K126" s="25">
        <v>1.48</v>
      </c>
      <c r="L126" s="47">
        <v>0</v>
      </c>
      <c r="M126" s="14"/>
    </row>
    <row r="127" spans="2:18">
      <c r="B127" s="20" t="s">
        <v>214</v>
      </c>
      <c r="C127" s="14">
        <v>0</v>
      </c>
      <c r="D127" s="14">
        <v>0</v>
      </c>
      <c r="E127" s="14">
        <f t="shared" si="11"/>
        <v>0</v>
      </c>
      <c r="F127" s="36"/>
      <c r="I127" s="11" t="s">
        <v>214</v>
      </c>
      <c r="J127" s="13" t="s">
        <v>192</v>
      </c>
      <c r="K127" s="25">
        <v>0</v>
      </c>
      <c r="L127" s="47">
        <v>0</v>
      </c>
      <c r="M127" s="14"/>
    </row>
    <row r="128" spans="2:18">
      <c r="B128" s="20" t="s">
        <v>215</v>
      </c>
      <c r="C128" s="14">
        <v>0</v>
      </c>
      <c r="D128" s="14">
        <v>0</v>
      </c>
      <c r="E128" s="14">
        <f t="shared" si="11"/>
        <v>0</v>
      </c>
      <c r="F128" s="36"/>
      <c r="I128" s="11" t="s">
        <v>215</v>
      </c>
      <c r="J128" s="13" t="s">
        <v>192</v>
      </c>
      <c r="K128" s="25">
        <v>0</v>
      </c>
      <c r="L128" s="47">
        <v>0</v>
      </c>
      <c r="M128" s="14"/>
    </row>
    <row r="129" spans="2:13">
      <c r="B129" s="20" t="s">
        <v>216</v>
      </c>
      <c r="C129" s="14">
        <v>0</v>
      </c>
      <c r="D129" s="14">
        <v>1.9</v>
      </c>
      <c r="E129" s="14">
        <f t="shared" si="11"/>
        <v>1.9</v>
      </c>
      <c r="F129" s="36"/>
      <c r="I129" s="11" t="s">
        <v>216</v>
      </c>
      <c r="J129" s="13" t="s">
        <v>123</v>
      </c>
      <c r="K129" s="25">
        <v>3.5</v>
      </c>
      <c r="L129" s="47">
        <v>3.5</v>
      </c>
      <c r="M129" s="14"/>
    </row>
    <row r="130" spans="2:13">
      <c r="B130" s="20" t="s">
        <v>217</v>
      </c>
      <c r="C130" s="14">
        <v>0</v>
      </c>
      <c r="D130" s="14">
        <v>1.7</v>
      </c>
      <c r="E130" s="14">
        <f t="shared" si="11"/>
        <v>1.7</v>
      </c>
      <c r="F130" s="36"/>
      <c r="I130" s="11" t="s">
        <v>217</v>
      </c>
      <c r="J130" s="13" t="s">
        <v>119</v>
      </c>
      <c r="K130" s="12">
        <v>2.4500000000000002</v>
      </c>
      <c r="L130" s="48">
        <v>2.4500000000000002</v>
      </c>
      <c r="M130" s="14"/>
    </row>
    <row r="131" spans="2:13">
      <c r="B131" s="251" t="s">
        <v>593</v>
      </c>
      <c r="C131" s="250"/>
      <c r="D131" s="250"/>
      <c r="E131" s="250"/>
      <c r="F131" s="36"/>
      <c r="I131" s="11" t="s">
        <v>218</v>
      </c>
      <c r="J131" s="13" t="s">
        <v>188</v>
      </c>
      <c r="K131" s="12">
        <v>1.48</v>
      </c>
      <c r="L131" s="48">
        <v>0</v>
      </c>
      <c r="M131" s="14"/>
    </row>
    <row r="132" spans="2:13">
      <c r="B132" s="20" t="s">
        <v>219</v>
      </c>
      <c r="C132" s="14">
        <v>0</v>
      </c>
      <c r="D132" s="14">
        <v>0</v>
      </c>
      <c r="E132" s="14">
        <f t="shared" si="11"/>
        <v>0</v>
      </c>
      <c r="F132" s="36"/>
      <c r="I132" s="11" t="s">
        <v>219</v>
      </c>
      <c r="J132" s="13" t="s">
        <v>192</v>
      </c>
      <c r="K132" s="12">
        <v>0</v>
      </c>
      <c r="L132" s="48">
        <v>0</v>
      </c>
      <c r="M132" s="14"/>
    </row>
    <row r="133" spans="2:13">
      <c r="B133" s="251" t="s">
        <v>593</v>
      </c>
      <c r="C133" s="250"/>
      <c r="D133" s="250"/>
      <c r="E133" s="250"/>
      <c r="F133" s="36"/>
      <c r="I133" s="11" t="s">
        <v>220</v>
      </c>
      <c r="J133" s="21" t="s">
        <v>237</v>
      </c>
      <c r="K133" s="44">
        <v>5.38</v>
      </c>
      <c r="L133" s="49">
        <v>4.05</v>
      </c>
      <c r="M133" s="14"/>
    </row>
    <row r="134" spans="2:13">
      <c r="B134" s="20" t="s">
        <v>221</v>
      </c>
      <c r="C134" s="14">
        <v>0</v>
      </c>
      <c r="D134" s="14">
        <v>0</v>
      </c>
      <c r="E134" s="14">
        <f t="shared" si="11"/>
        <v>0</v>
      </c>
      <c r="F134" s="36"/>
      <c r="I134" s="11" t="s">
        <v>221</v>
      </c>
      <c r="J134" s="13" t="s">
        <v>192</v>
      </c>
      <c r="K134" s="12">
        <v>0</v>
      </c>
      <c r="L134" s="48">
        <v>0</v>
      </c>
      <c r="M134" s="14"/>
    </row>
    <row r="135" spans="2:13">
      <c r="B135" s="251" t="s">
        <v>593</v>
      </c>
      <c r="C135" s="250"/>
      <c r="D135" s="250"/>
      <c r="E135" s="250"/>
      <c r="F135" s="36"/>
      <c r="I135" s="11" t="s">
        <v>222</v>
      </c>
      <c r="J135" s="21" t="s">
        <v>237</v>
      </c>
      <c r="K135" s="44">
        <v>3.78</v>
      </c>
      <c r="L135" s="49">
        <v>2.4500000000000002</v>
      </c>
      <c r="M135" s="14"/>
    </row>
    <row r="136" spans="2:13">
      <c r="B136" s="20" t="s">
        <v>223</v>
      </c>
      <c r="C136" s="14">
        <v>0</v>
      </c>
      <c r="D136" s="14">
        <v>0</v>
      </c>
      <c r="E136" s="14">
        <f t="shared" si="11"/>
        <v>0</v>
      </c>
      <c r="F136" s="36"/>
      <c r="I136" s="11" t="s">
        <v>223</v>
      </c>
      <c r="J136" s="13" t="s">
        <v>192</v>
      </c>
      <c r="K136" s="12">
        <v>0</v>
      </c>
      <c r="L136" s="48">
        <v>0</v>
      </c>
      <c r="M136" s="14"/>
    </row>
    <row r="137" spans="2:13">
      <c r="B137" s="20" t="s">
        <v>224</v>
      </c>
      <c r="C137" s="14">
        <v>0</v>
      </c>
      <c r="D137" s="14">
        <v>3.1</v>
      </c>
      <c r="E137" s="14">
        <f t="shared" si="11"/>
        <v>3.1</v>
      </c>
      <c r="F137" s="36"/>
      <c r="I137" s="11" t="s">
        <v>224</v>
      </c>
      <c r="J137" s="13" t="s">
        <v>121</v>
      </c>
      <c r="K137" s="12">
        <v>6</v>
      </c>
      <c r="L137" s="48">
        <v>6</v>
      </c>
      <c r="M137" s="14"/>
    </row>
    <row r="138" spans="2:13">
      <c r="B138" s="20" t="s">
        <v>225</v>
      </c>
      <c r="C138" s="14">
        <v>0</v>
      </c>
      <c r="D138" s="14">
        <v>1.7</v>
      </c>
      <c r="E138" s="14">
        <f t="shared" si="11"/>
        <v>1.7</v>
      </c>
      <c r="F138" s="36"/>
      <c r="I138" s="11" t="s">
        <v>225</v>
      </c>
      <c r="J138" s="13" t="s">
        <v>119</v>
      </c>
      <c r="K138" s="12">
        <v>3.25</v>
      </c>
      <c r="L138" s="48">
        <v>3.25</v>
      </c>
      <c r="M138" s="14"/>
    </row>
    <row r="139" spans="2:13">
      <c r="B139" s="20" t="s">
        <v>226</v>
      </c>
      <c r="C139" s="14">
        <v>0</v>
      </c>
      <c r="D139" s="14">
        <v>0</v>
      </c>
      <c r="E139" s="14">
        <f t="shared" si="11"/>
        <v>0</v>
      </c>
      <c r="F139" s="36"/>
      <c r="I139" s="11" t="s">
        <v>226</v>
      </c>
      <c r="J139" s="13" t="s">
        <v>192</v>
      </c>
      <c r="K139" s="12">
        <v>0</v>
      </c>
      <c r="L139" s="48">
        <v>0</v>
      </c>
      <c r="M139" s="14"/>
    </row>
    <row r="140" spans="2:13">
      <c r="B140" s="251" t="s">
        <v>593</v>
      </c>
      <c r="C140" s="250"/>
      <c r="D140" s="250"/>
      <c r="E140" s="250"/>
      <c r="F140" s="36"/>
      <c r="I140" s="11" t="s">
        <v>227</v>
      </c>
      <c r="J140" s="13" t="s">
        <v>238</v>
      </c>
      <c r="K140" s="12">
        <v>1.38</v>
      </c>
      <c r="L140" s="47">
        <v>0</v>
      </c>
      <c r="M140" s="14"/>
    </row>
    <row r="141" spans="2:13">
      <c r="B141" s="20" t="s">
        <v>228</v>
      </c>
      <c r="C141" s="14">
        <v>0</v>
      </c>
      <c r="D141" s="14">
        <v>0</v>
      </c>
      <c r="E141" s="14">
        <f t="shared" si="11"/>
        <v>0</v>
      </c>
      <c r="F141" s="36"/>
      <c r="I141" s="11" t="s">
        <v>228</v>
      </c>
      <c r="J141" s="13" t="s">
        <v>191</v>
      </c>
      <c r="K141" s="12">
        <v>0</v>
      </c>
      <c r="L141" s="48">
        <v>0</v>
      </c>
      <c r="M141" s="14"/>
    </row>
    <row r="142" spans="2:13">
      <c r="B142" s="20" t="s">
        <v>229</v>
      </c>
      <c r="C142" s="14">
        <v>0</v>
      </c>
      <c r="D142" s="14">
        <v>0</v>
      </c>
      <c r="E142" s="14">
        <f t="shared" si="11"/>
        <v>0</v>
      </c>
      <c r="F142" s="36"/>
      <c r="I142" s="11" t="s">
        <v>229</v>
      </c>
      <c r="J142" s="13" t="s">
        <v>191</v>
      </c>
      <c r="K142" s="12">
        <v>0</v>
      </c>
      <c r="L142" s="48">
        <v>0</v>
      </c>
      <c r="M142" s="14"/>
    </row>
    <row r="143" spans="2:13">
      <c r="B143" s="20" t="s">
        <v>230</v>
      </c>
      <c r="C143" s="14">
        <v>0</v>
      </c>
      <c r="D143" s="14">
        <v>0</v>
      </c>
      <c r="E143" s="14">
        <f t="shared" si="11"/>
        <v>0</v>
      </c>
      <c r="F143" s="36"/>
      <c r="I143" s="11" t="s">
        <v>230</v>
      </c>
      <c r="J143" s="13" t="s">
        <v>191</v>
      </c>
      <c r="K143" s="12">
        <v>0</v>
      </c>
      <c r="L143" s="48">
        <v>0</v>
      </c>
      <c r="M143" s="14"/>
    </row>
    <row r="144" spans="2:13">
      <c r="B144" s="20" t="s">
        <v>231</v>
      </c>
      <c r="C144" s="14">
        <v>0.86</v>
      </c>
      <c r="D144" s="14">
        <v>0</v>
      </c>
      <c r="E144" s="14">
        <f t="shared" si="11"/>
        <v>0.86</v>
      </c>
      <c r="F144" s="36"/>
      <c r="I144" s="11" t="s">
        <v>231</v>
      </c>
      <c r="J144" s="13" t="s">
        <v>576</v>
      </c>
      <c r="K144" s="12">
        <v>6.4</v>
      </c>
      <c r="L144" s="48">
        <v>5.47</v>
      </c>
      <c r="M144" s="14"/>
    </row>
    <row r="145" spans="2:13">
      <c r="B145" s="20" t="s">
        <v>232</v>
      </c>
      <c r="C145" s="14">
        <v>0</v>
      </c>
      <c r="D145" s="14">
        <v>1.9</v>
      </c>
      <c r="E145" s="14">
        <f t="shared" si="11"/>
        <v>1.9</v>
      </c>
      <c r="F145" s="36"/>
      <c r="I145" s="11" t="s">
        <v>232</v>
      </c>
      <c r="J145" s="13" t="s">
        <v>123</v>
      </c>
      <c r="K145" s="12">
        <v>6.35</v>
      </c>
      <c r="L145" s="48">
        <v>6.35</v>
      </c>
      <c r="M145" s="14"/>
    </row>
    <row r="146" spans="2:13">
      <c r="B146" s="20" t="s">
        <v>233</v>
      </c>
      <c r="C146" s="14">
        <v>0.86</v>
      </c>
      <c r="D146" s="14">
        <v>0.7</v>
      </c>
      <c r="E146" s="14">
        <f t="shared" si="11"/>
        <v>1.56</v>
      </c>
      <c r="F146" s="36"/>
      <c r="I146" s="11" t="s">
        <v>233</v>
      </c>
      <c r="J146" s="13" t="s">
        <v>239</v>
      </c>
      <c r="K146" s="12">
        <v>1.95</v>
      </c>
      <c r="L146" s="48">
        <v>1</v>
      </c>
      <c r="M146" s="14"/>
    </row>
    <row r="147" spans="2:13">
      <c r="B147" s="20" t="s">
        <v>234</v>
      </c>
      <c r="C147" s="14">
        <v>0</v>
      </c>
      <c r="D147" s="14">
        <v>0.7</v>
      </c>
      <c r="E147" s="14">
        <f t="shared" si="11"/>
        <v>0.7</v>
      </c>
      <c r="F147" s="36"/>
      <c r="I147" s="11" t="s">
        <v>234</v>
      </c>
      <c r="J147" s="13" t="s">
        <v>124</v>
      </c>
      <c r="K147" s="12">
        <v>2</v>
      </c>
      <c r="L147" s="48">
        <v>2</v>
      </c>
      <c r="M147" s="14"/>
    </row>
    <row r="148" spans="2:13">
      <c r="B148" s="20" t="s">
        <v>235</v>
      </c>
      <c r="C148" s="14">
        <f>2*0.86</f>
        <v>1.72</v>
      </c>
      <c r="D148" s="14">
        <v>0</v>
      </c>
      <c r="E148" s="14">
        <f t="shared" si="11"/>
        <v>1.72</v>
      </c>
      <c r="F148" s="36"/>
      <c r="I148" s="11" t="s">
        <v>235</v>
      </c>
      <c r="J148" s="13" t="s">
        <v>240</v>
      </c>
      <c r="K148" s="12">
        <v>3</v>
      </c>
      <c r="L148" s="48">
        <v>0</v>
      </c>
      <c r="M148" s="14"/>
    </row>
    <row r="149" spans="2:13">
      <c r="B149" s="20" t="s">
        <v>236</v>
      </c>
      <c r="C149" s="14">
        <v>0</v>
      </c>
      <c r="D149" s="14">
        <f>2*0.7</f>
        <v>1.4</v>
      </c>
      <c r="E149" s="14">
        <f t="shared" si="11"/>
        <v>1.4</v>
      </c>
      <c r="F149" s="36"/>
      <c r="I149" s="45" t="s">
        <v>236</v>
      </c>
      <c r="J149" s="26" t="s">
        <v>241</v>
      </c>
      <c r="K149" s="33">
        <v>3.05</v>
      </c>
      <c r="L149" s="50">
        <v>3.05</v>
      </c>
      <c r="M149" s="46"/>
    </row>
    <row r="150" spans="2:13">
      <c r="B150" s="20" t="s">
        <v>276</v>
      </c>
      <c r="C150" s="14">
        <v>0</v>
      </c>
      <c r="D150" s="14">
        <v>0</v>
      </c>
      <c r="E150" s="14">
        <f t="shared" si="11"/>
        <v>0</v>
      </c>
      <c r="F150" s="36"/>
      <c r="I150" s="11" t="s">
        <v>276</v>
      </c>
      <c r="J150" s="13" t="s">
        <v>192</v>
      </c>
      <c r="K150" s="79"/>
      <c r="L150" s="79">
        <v>0</v>
      </c>
      <c r="M150" s="46"/>
    </row>
    <row r="151" spans="2:13">
      <c r="B151" s="20" t="s">
        <v>277</v>
      </c>
      <c r="C151" s="14">
        <v>0.86</v>
      </c>
      <c r="D151" s="14">
        <v>0.7</v>
      </c>
      <c r="E151" s="14">
        <f t="shared" si="11"/>
        <v>1.56</v>
      </c>
      <c r="F151" s="36"/>
      <c r="I151" s="11" t="s">
        <v>277</v>
      </c>
      <c r="J151" s="26" t="s">
        <v>577</v>
      </c>
      <c r="K151" s="79">
        <v>2.5499999999999998</v>
      </c>
      <c r="L151" s="79">
        <v>1.62</v>
      </c>
      <c r="M151" s="46"/>
    </row>
    <row r="152" spans="2:13">
      <c r="B152" s="20" t="s">
        <v>278</v>
      </c>
      <c r="C152" s="14">
        <v>0</v>
      </c>
      <c r="D152" s="14">
        <v>0</v>
      </c>
      <c r="E152" s="14">
        <f t="shared" si="11"/>
        <v>0</v>
      </c>
      <c r="F152" s="36"/>
      <c r="I152" s="11" t="s">
        <v>278</v>
      </c>
      <c r="J152" s="13" t="s">
        <v>192</v>
      </c>
      <c r="K152" s="79">
        <v>0</v>
      </c>
      <c r="L152" s="79">
        <v>0</v>
      </c>
      <c r="M152" s="46"/>
    </row>
    <row r="153" spans="2:13">
      <c r="B153" s="20" t="s">
        <v>279</v>
      </c>
      <c r="C153" s="14">
        <v>0.86</v>
      </c>
      <c r="D153" s="14">
        <v>0.7</v>
      </c>
      <c r="E153" s="14">
        <f t="shared" si="11"/>
        <v>1.56</v>
      </c>
      <c r="F153" s="36"/>
      <c r="I153" s="11" t="s">
        <v>279</v>
      </c>
      <c r="J153" s="26" t="s">
        <v>577</v>
      </c>
      <c r="K153" s="79">
        <v>2.6</v>
      </c>
      <c r="L153" s="79">
        <v>1.62</v>
      </c>
      <c r="M153" s="46"/>
    </row>
    <row r="154" spans="2:13">
      <c r="B154" s="13" t="s">
        <v>280</v>
      </c>
      <c r="C154" s="14">
        <v>0</v>
      </c>
      <c r="D154" s="14">
        <v>0</v>
      </c>
      <c r="E154" s="14">
        <f t="shared" si="11"/>
        <v>0</v>
      </c>
      <c r="F154" s="36"/>
      <c r="I154" s="11" t="s">
        <v>280</v>
      </c>
      <c r="J154" s="13" t="s">
        <v>192</v>
      </c>
      <c r="K154" s="79">
        <v>0</v>
      </c>
      <c r="L154" s="79">
        <v>0</v>
      </c>
      <c r="M154" s="46"/>
    </row>
    <row r="155" spans="2:13" ht="15.75" thickBot="1">
      <c r="B155" s="80" t="s">
        <v>152</v>
      </c>
      <c r="C155" s="81">
        <f>SUM(C111:C154)</f>
        <v>19.379999999999992</v>
      </c>
      <c r="D155" s="81">
        <f>SUM(D111:D154)</f>
        <v>36.900000000000006</v>
      </c>
      <c r="E155" s="82">
        <f>SUM(E111:E154)</f>
        <v>56.280000000000008</v>
      </c>
      <c r="I155" s="83" t="s">
        <v>152</v>
      </c>
      <c r="J155" s="76"/>
      <c r="K155" s="84">
        <f>SUM(K111:K154)</f>
        <v>110.27999999999997</v>
      </c>
      <c r="L155" s="85">
        <f>SUM(L111:L154)</f>
        <v>74.360000000000014</v>
      </c>
      <c r="M155" s="86"/>
    </row>
    <row r="156" spans="2:13">
      <c r="I156" s="668" t="s">
        <v>242</v>
      </c>
      <c r="J156" s="669"/>
      <c r="K156" s="669"/>
      <c r="L156" s="669"/>
    </row>
    <row r="157" spans="2:13" ht="15.75" thickBot="1">
      <c r="B157" s="77" t="s">
        <v>284</v>
      </c>
      <c r="E157" s="77" t="s">
        <v>284</v>
      </c>
      <c r="I157" s="65"/>
      <c r="J157" s="65"/>
      <c r="K157" s="65"/>
    </row>
    <row r="158" spans="2:13" ht="15.75" thickBot="1">
      <c r="B158" s="595" t="s">
        <v>263</v>
      </c>
      <c r="C158" s="623"/>
      <c r="D158" s="66"/>
      <c r="E158" s="665" t="s">
        <v>272</v>
      </c>
      <c r="F158" s="666"/>
      <c r="G158" s="667"/>
    </row>
    <row r="159" spans="2:13">
      <c r="B159" s="67" t="s">
        <v>265</v>
      </c>
      <c r="C159" s="67" t="s">
        <v>271</v>
      </c>
      <c r="E159" s="74" t="s">
        <v>265</v>
      </c>
      <c r="F159" s="74" t="s">
        <v>273</v>
      </c>
      <c r="G159" s="74" t="s">
        <v>266</v>
      </c>
    </row>
    <row r="160" spans="2:13">
      <c r="B160" s="13" t="s">
        <v>264</v>
      </c>
      <c r="C160" s="13">
        <v>295.79000000000002</v>
      </c>
      <c r="E160" s="13" t="s">
        <v>1051</v>
      </c>
      <c r="F160" s="13" t="s">
        <v>274</v>
      </c>
      <c r="G160" s="13">
        <v>295.79000000000002</v>
      </c>
    </row>
    <row r="161" spans="2:8">
      <c r="B161" s="13" t="s">
        <v>176</v>
      </c>
      <c r="C161" s="13">
        <v>6.25</v>
      </c>
      <c r="E161" s="13" t="s">
        <v>176</v>
      </c>
      <c r="F161" s="13" t="s">
        <v>274</v>
      </c>
      <c r="G161" s="13">
        <v>6.25</v>
      </c>
    </row>
    <row r="162" spans="2:8">
      <c r="B162" s="13" t="s">
        <v>177</v>
      </c>
      <c r="C162" s="13">
        <v>8.375</v>
      </c>
      <c r="E162" s="13" t="s">
        <v>177</v>
      </c>
      <c r="F162" s="13" t="s">
        <v>274</v>
      </c>
      <c r="G162" s="13">
        <v>8.375</v>
      </c>
    </row>
    <row r="163" spans="2:8">
      <c r="B163" s="13" t="s">
        <v>178</v>
      </c>
      <c r="C163" s="13">
        <v>39.527500000000003</v>
      </c>
      <c r="E163" s="13" t="s">
        <v>247</v>
      </c>
      <c r="F163" s="13" t="s">
        <v>274</v>
      </c>
      <c r="G163" s="13">
        <v>2</v>
      </c>
    </row>
    <row r="164" spans="2:8">
      <c r="B164" s="13" t="s">
        <v>247</v>
      </c>
      <c r="C164" s="13">
        <v>2</v>
      </c>
      <c r="E164" s="13" t="s">
        <v>248</v>
      </c>
      <c r="F164" s="13" t="s">
        <v>274</v>
      </c>
      <c r="G164" s="13">
        <v>6.7424999999999997</v>
      </c>
    </row>
    <row r="165" spans="2:8">
      <c r="B165" s="13" t="s">
        <v>248</v>
      </c>
      <c r="C165" s="13">
        <v>6.7424999999999997</v>
      </c>
      <c r="E165" s="13" t="s">
        <v>249</v>
      </c>
      <c r="F165" s="13" t="s">
        <v>274</v>
      </c>
      <c r="G165" s="13">
        <v>2.3250000000000002</v>
      </c>
    </row>
    <row r="166" spans="2:8">
      <c r="B166" s="13" t="s">
        <v>249</v>
      </c>
      <c r="C166" s="13">
        <v>2.3250000000000002</v>
      </c>
      <c r="E166" s="13" t="s">
        <v>250</v>
      </c>
      <c r="F166" s="13" t="s">
        <v>274</v>
      </c>
      <c r="G166" s="13">
        <v>9.6</v>
      </c>
    </row>
    <row r="167" spans="2:8">
      <c r="B167" s="13" t="s">
        <v>250</v>
      </c>
      <c r="C167" s="13">
        <v>9.6</v>
      </c>
      <c r="E167" s="13" t="s">
        <v>351</v>
      </c>
      <c r="F167" s="13" t="s">
        <v>275</v>
      </c>
      <c r="G167" s="13">
        <v>30</v>
      </c>
      <c r="H167">
        <f>G167+G175+G174</f>
        <v>111.5275</v>
      </c>
    </row>
    <row r="168" spans="2:8">
      <c r="B168" s="13" t="s">
        <v>179</v>
      </c>
      <c r="C168" s="13">
        <v>42</v>
      </c>
      <c r="E168" s="13" t="s">
        <v>180</v>
      </c>
      <c r="F168" s="13" t="s">
        <v>274</v>
      </c>
      <c r="G168" s="13">
        <v>22.75</v>
      </c>
      <c r="H168">
        <f>G178-H167</f>
        <v>400.10749999999996</v>
      </c>
    </row>
    <row r="169" spans="2:8">
      <c r="B169" s="13" t="s">
        <v>351</v>
      </c>
      <c r="C169" s="13">
        <v>30</v>
      </c>
      <c r="E169" s="13" t="s">
        <v>181</v>
      </c>
      <c r="F169" s="13" t="s">
        <v>274</v>
      </c>
      <c r="G169" s="13">
        <v>7</v>
      </c>
    </row>
    <row r="170" spans="2:8">
      <c r="B170" s="13" t="s">
        <v>180</v>
      </c>
      <c r="C170" s="13">
        <v>22.75</v>
      </c>
      <c r="E170" s="13" t="s">
        <v>182</v>
      </c>
      <c r="F170" s="13" t="s">
        <v>274</v>
      </c>
      <c r="G170" s="13">
        <v>5.25</v>
      </c>
    </row>
    <row r="171" spans="2:8">
      <c r="B171" s="13" t="s">
        <v>181</v>
      </c>
      <c r="C171" s="13">
        <v>7</v>
      </c>
      <c r="E171" s="13" t="s">
        <v>183</v>
      </c>
      <c r="F171" s="13" t="s">
        <v>274</v>
      </c>
      <c r="G171" s="13">
        <v>5.25</v>
      </c>
    </row>
    <row r="172" spans="2:8">
      <c r="B172" s="13" t="s">
        <v>182</v>
      </c>
      <c r="C172" s="13">
        <v>5.25</v>
      </c>
      <c r="E172" s="13" t="s">
        <v>269</v>
      </c>
      <c r="F172" s="13" t="s">
        <v>274</v>
      </c>
      <c r="G172" s="13">
        <v>8.375</v>
      </c>
    </row>
    <row r="173" spans="2:8">
      <c r="B173" s="26" t="s">
        <v>183</v>
      </c>
      <c r="C173" s="26">
        <v>5.25</v>
      </c>
      <c r="E173" s="17" t="s">
        <v>270</v>
      </c>
      <c r="F173" s="13" t="s">
        <v>274</v>
      </c>
      <c r="G173" s="13">
        <v>11.22</v>
      </c>
    </row>
    <row r="174" spans="2:8">
      <c r="B174" s="13" t="s">
        <v>269</v>
      </c>
      <c r="C174" s="39">
        <v>8.375</v>
      </c>
      <c r="E174" s="17" t="s">
        <v>178</v>
      </c>
      <c r="F174" s="17" t="s">
        <v>275</v>
      </c>
      <c r="G174" s="13">
        <v>39.527500000000003</v>
      </c>
    </row>
    <row r="175" spans="2:8">
      <c r="B175" s="68" t="s">
        <v>270</v>
      </c>
      <c r="C175" s="87">
        <v>11.22</v>
      </c>
      <c r="E175" s="34" t="s">
        <v>179</v>
      </c>
      <c r="F175" s="17" t="s">
        <v>275</v>
      </c>
      <c r="G175" s="13">
        <v>42</v>
      </c>
    </row>
    <row r="176" spans="2:8">
      <c r="B176" s="17" t="s">
        <v>286</v>
      </c>
      <c r="C176" s="13">
        <v>4.59</v>
      </c>
      <c r="E176" s="17" t="s">
        <v>286</v>
      </c>
      <c r="F176" s="13" t="s">
        <v>274</v>
      </c>
      <c r="G176" s="13">
        <v>4.59</v>
      </c>
    </row>
    <row r="177" spans="2:11" ht="15.75" thickBot="1">
      <c r="B177" s="17" t="s">
        <v>287</v>
      </c>
      <c r="C177" s="13">
        <v>4.59</v>
      </c>
      <c r="E177" s="17" t="s">
        <v>287</v>
      </c>
      <c r="F177" s="13" t="s">
        <v>274</v>
      </c>
      <c r="G177" s="13">
        <v>4.59</v>
      </c>
    </row>
    <row r="178" spans="2:11" ht="15.75" thickBot="1">
      <c r="B178" s="88" t="s">
        <v>152</v>
      </c>
      <c r="C178" s="89">
        <f>SUM(C160:C177)</f>
        <v>511.63499999999999</v>
      </c>
      <c r="E178" s="27" t="s">
        <v>152</v>
      </c>
      <c r="F178" s="36"/>
      <c r="G178" s="90">
        <f>SUM(G160:G177)</f>
        <v>511.63499999999999</v>
      </c>
    </row>
    <row r="179" spans="2:11" ht="15.75" thickBot="1"/>
    <row r="180" spans="2:11" ht="15.75" thickBot="1">
      <c r="B180" s="629" t="s">
        <v>293</v>
      </c>
      <c r="C180" s="630"/>
      <c r="D180" s="631"/>
      <c r="E180" s="91"/>
      <c r="F180" s="91"/>
      <c r="J180" s="664" t="s">
        <v>294</v>
      </c>
      <c r="K180" s="664"/>
    </row>
    <row r="181" spans="2:11">
      <c r="B181" s="92" t="s">
        <v>296</v>
      </c>
      <c r="C181" s="92" t="s">
        <v>292</v>
      </c>
      <c r="D181" s="93" t="s">
        <v>321</v>
      </c>
      <c r="E181" s="98" t="s">
        <v>320</v>
      </c>
      <c r="F181" s="36"/>
      <c r="J181" s="664" t="s">
        <v>295</v>
      </c>
      <c r="K181" s="664"/>
    </row>
    <row r="182" spans="2:11">
      <c r="B182" s="94" t="s">
        <v>299</v>
      </c>
      <c r="C182" s="17" t="s">
        <v>288</v>
      </c>
      <c r="D182" s="17">
        <f>E182*1.1</f>
        <v>175.34000000000003</v>
      </c>
      <c r="E182" s="17">
        <f>149.83+3.66+0.6+2+0.25+3.06</f>
        <v>159.4</v>
      </c>
      <c r="J182" s="664" t="s">
        <v>322</v>
      </c>
      <c r="K182" s="664"/>
    </row>
    <row r="183" spans="2:11">
      <c r="B183" s="94" t="s">
        <v>299</v>
      </c>
      <c r="C183" s="17" t="s">
        <v>289</v>
      </c>
      <c r="D183" s="17">
        <f>E183*1.1</f>
        <v>27.071000000000002</v>
      </c>
      <c r="E183" s="13">
        <f>3.7+15.51 + 1.7+3.7</f>
        <v>24.61</v>
      </c>
    </row>
    <row r="184" spans="2:11" ht="16.5" thickBot="1">
      <c r="B184" s="94" t="s">
        <v>299</v>
      </c>
      <c r="C184" s="17" t="s">
        <v>301</v>
      </c>
      <c r="D184" s="96">
        <v>57</v>
      </c>
      <c r="E184">
        <f>D184</f>
        <v>57</v>
      </c>
    </row>
    <row r="185" spans="2:11" ht="16.5" thickBot="1">
      <c r="B185" s="94" t="s">
        <v>299</v>
      </c>
      <c r="C185" s="17" t="s">
        <v>302</v>
      </c>
      <c r="D185" s="96">
        <v>6</v>
      </c>
      <c r="E185">
        <f t="shared" ref="E185:E190" si="12">D185</f>
        <v>6</v>
      </c>
      <c r="G185" s="629" t="s">
        <v>334</v>
      </c>
      <c r="H185" s="630"/>
      <c r="I185" s="630"/>
      <c r="J185" s="631"/>
    </row>
    <row r="186" spans="2:11" ht="15.75">
      <c r="B186" s="94" t="s">
        <v>299</v>
      </c>
      <c r="C186" s="17" t="s">
        <v>307</v>
      </c>
      <c r="D186" s="96">
        <v>30</v>
      </c>
      <c r="E186">
        <f t="shared" si="12"/>
        <v>30</v>
      </c>
      <c r="G186" s="103" t="s">
        <v>292</v>
      </c>
      <c r="H186" s="103" t="s">
        <v>335</v>
      </c>
      <c r="I186" s="103" t="s">
        <v>342</v>
      </c>
      <c r="J186" s="103"/>
    </row>
    <row r="187" spans="2:11" ht="15.75">
      <c r="B187" s="94" t="s">
        <v>299</v>
      </c>
      <c r="C187" s="17" t="s">
        <v>308</v>
      </c>
      <c r="D187" s="96">
        <v>6</v>
      </c>
      <c r="E187">
        <f t="shared" si="12"/>
        <v>6</v>
      </c>
      <c r="G187" s="104" t="s">
        <v>336</v>
      </c>
      <c r="H187" s="100">
        <v>7</v>
      </c>
      <c r="I187" s="100" t="s">
        <v>15</v>
      </c>
    </row>
    <row r="188" spans="2:11" ht="15.75">
      <c r="B188" s="94" t="s">
        <v>299</v>
      </c>
      <c r="C188" s="17" t="s">
        <v>297</v>
      </c>
      <c r="D188" s="96">
        <v>4</v>
      </c>
      <c r="E188">
        <f t="shared" si="12"/>
        <v>4</v>
      </c>
      <c r="G188" s="104" t="s">
        <v>337</v>
      </c>
      <c r="H188" s="100">
        <v>2</v>
      </c>
      <c r="I188" s="100" t="s">
        <v>15</v>
      </c>
    </row>
    <row r="189" spans="2:11" ht="15.75">
      <c r="B189" s="94" t="s">
        <v>299</v>
      </c>
      <c r="C189" s="17" t="s">
        <v>298</v>
      </c>
      <c r="D189" s="96">
        <v>1</v>
      </c>
      <c r="E189">
        <f t="shared" si="12"/>
        <v>1</v>
      </c>
      <c r="G189" s="104" t="s">
        <v>338</v>
      </c>
      <c r="H189" s="100">
        <v>11</v>
      </c>
      <c r="I189" s="100" t="s">
        <v>15</v>
      </c>
    </row>
    <row r="190" spans="2:11" ht="15.75">
      <c r="B190" s="94" t="s">
        <v>299</v>
      </c>
      <c r="C190" s="94" t="s">
        <v>323</v>
      </c>
      <c r="D190" s="96">
        <v>7</v>
      </c>
      <c r="E190">
        <f t="shared" si="12"/>
        <v>7</v>
      </c>
      <c r="G190" s="585" t="s">
        <v>339</v>
      </c>
      <c r="H190" s="586">
        <f>(1+3.66*6)+(3.09+2.94+2.94+5.15+5.3+5.3)+(1.05+1.15+1.11+1.45+1.35+1.2)</f>
        <v>54.99</v>
      </c>
      <c r="I190" s="587"/>
      <c r="J190" s="588"/>
    </row>
    <row r="191" spans="2:11">
      <c r="B191" s="94"/>
      <c r="C191" s="17"/>
      <c r="D191" s="17"/>
      <c r="G191" s="585"/>
      <c r="H191" s="586"/>
      <c r="I191" s="587"/>
      <c r="J191" s="588"/>
    </row>
    <row r="192" spans="2:11">
      <c r="B192" s="94"/>
      <c r="C192" s="17"/>
      <c r="D192" s="17"/>
      <c r="G192" s="104" t="s">
        <v>340</v>
      </c>
      <c r="H192" s="101">
        <v>57.36</v>
      </c>
      <c r="I192" s="101"/>
    </row>
    <row r="193" spans="2:9">
      <c r="B193" s="94"/>
      <c r="C193" s="17"/>
      <c r="D193" s="17"/>
      <c r="G193" s="104" t="s">
        <v>341</v>
      </c>
      <c r="H193" s="101">
        <v>77.78</v>
      </c>
      <c r="I193" s="101"/>
    </row>
    <row r="194" spans="2:9">
      <c r="B194" s="94"/>
      <c r="C194" s="17"/>
      <c r="D194" s="17"/>
      <c r="G194" s="104" t="s">
        <v>344</v>
      </c>
      <c r="H194" s="101">
        <v>22.22</v>
      </c>
      <c r="I194" s="101">
        <f>H194*1.1</f>
        <v>24.442</v>
      </c>
    </row>
    <row r="195" spans="2:9">
      <c r="B195" s="94" t="s">
        <v>300</v>
      </c>
      <c r="C195" s="17" t="s">
        <v>290</v>
      </c>
      <c r="D195" s="17">
        <f>E195*1.1</f>
        <v>56.231999999999999</v>
      </c>
      <c r="E195" s="13">
        <v>51.12</v>
      </c>
      <c r="G195" s="104" t="s">
        <v>343</v>
      </c>
      <c r="H195" s="101">
        <v>13.23</v>
      </c>
      <c r="I195" s="101">
        <f>H195*1.1</f>
        <v>14.553000000000001</v>
      </c>
    </row>
    <row r="196" spans="2:9">
      <c r="B196" s="94" t="s">
        <v>300</v>
      </c>
      <c r="C196" s="17" t="s">
        <v>291</v>
      </c>
      <c r="D196" s="17">
        <f>E196*1.1</f>
        <v>71.00500000000001</v>
      </c>
      <c r="E196" s="13">
        <v>64.55</v>
      </c>
      <c r="G196" s="104" t="s">
        <v>345</v>
      </c>
      <c r="H196" s="101">
        <v>14</v>
      </c>
      <c r="I196" s="101"/>
    </row>
    <row r="197" spans="2:9">
      <c r="B197" s="94" t="s">
        <v>300</v>
      </c>
      <c r="C197" s="17" t="s">
        <v>316</v>
      </c>
      <c r="D197" s="17">
        <v>22</v>
      </c>
      <c r="E197">
        <f>D197</f>
        <v>22</v>
      </c>
      <c r="G197" s="104" t="s">
        <v>346</v>
      </c>
      <c r="H197" s="101">
        <v>2</v>
      </c>
      <c r="I197" s="101"/>
    </row>
    <row r="198" spans="2:9">
      <c r="B198" s="94" t="s">
        <v>300</v>
      </c>
      <c r="C198" s="17" t="s">
        <v>317</v>
      </c>
      <c r="D198" s="17">
        <v>4</v>
      </c>
      <c r="E198">
        <f t="shared" ref="E198:E207" si="13">D198</f>
        <v>4</v>
      </c>
      <c r="G198" s="104" t="s">
        <v>347</v>
      </c>
      <c r="H198" s="101">
        <v>3</v>
      </c>
      <c r="I198" s="101"/>
    </row>
    <row r="199" spans="2:9">
      <c r="B199" s="94" t="s">
        <v>300</v>
      </c>
      <c r="C199" s="17" t="s">
        <v>312</v>
      </c>
      <c r="D199" s="17">
        <v>2</v>
      </c>
      <c r="E199">
        <f t="shared" si="13"/>
        <v>2</v>
      </c>
      <c r="G199" s="104" t="s">
        <v>348</v>
      </c>
      <c r="H199" s="101">
        <v>5</v>
      </c>
      <c r="I199" s="101"/>
    </row>
    <row r="200" spans="2:9">
      <c r="B200" s="94" t="s">
        <v>300</v>
      </c>
      <c r="C200" s="17" t="s">
        <v>313</v>
      </c>
      <c r="D200" s="17">
        <v>8</v>
      </c>
      <c r="E200">
        <f t="shared" si="13"/>
        <v>8</v>
      </c>
      <c r="G200" s="104" t="s">
        <v>349</v>
      </c>
      <c r="H200" s="101">
        <v>18</v>
      </c>
      <c r="I200" s="101"/>
    </row>
    <row r="201" spans="2:9">
      <c r="B201" s="94" t="s">
        <v>300</v>
      </c>
      <c r="C201" s="17" t="s">
        <v>315</v>
      </c>
      <c r="D201" s="17">
        <v>4</v>
      </c>
      <c r="E201">
        <f t="shared" si="13"/>
        <v>4</v>
      </c>
      <c r="H201" s="101"/>
      <c r="I201" s="101"/>
    </row>
    <row r="202" spans="2:9">
      <c r="B202" s="94" t="s">
        <v>300</v>
      </c>
      <c r="C202" s="17" t="s">
        <v>314</v>
      </c>
      <c r="D202" s="17">
        <v>6</v>
      </c>
      <c r="E202">
        <f t="shared" si="13"/>
        <v>6</v>
      </c>
      <c r="H202" s="101"/>
      <c r="I202" s="101"/>
    </row>
    <row r="203" spans="2:9">
      <c r="B203" s="94" t="s">
        <v>300</v>
      </c>
      <c r="C203" s="17" t="s">
        <v>309</v>
      </c>
      <c r="D203" s="17">
        <v>1</v>
      </c>
      <c r="E203">
        <f t="shared" si="13"/>
        <v>1</v>
      </c>
    </row>
    <row r="204" spans="2:9">
      <c r="B204" s="94" t="s">
        <v>300</v>
      </c>
      <c r="C204" s="94" t="s">
        <v>350</v>
      </c>
      <c r="D204" s="17">
        <v>7</v>
      </c>
      <c r="E204">
        <f t="shared" si="13"/>
        <v>7</v>
      </c>
    </row>
    <row r="205" spans="2:9">
      <c r="B205" s="94" t="s">
        <v>300</v>
      </c>
      <c r="C205" s="17" t="s">
        <v>318</v>
      </c>
      <c r="D205" s="17">
        <v>5</v>
      </c>
      <c r="E205">
        <f t="shared" si="13"/>
        <v>5</v>
      </c>
    </row>
    <row r="206" spans="2:9">
      <c r="B206" s="94" t="s">
        <v>300</v>
      </c>
      <c r="C206" s="17" t="s">
        <v>319</v>
      </c>
      <c r="D206" s="17">
        <v>2</v>
      </c>
      <c r="E206">
        <f t="shared" si="13"/>
        <v>2</v>
      </c>
    </row>
    <row r="207" spans="2:9">
      <c r="B207" s="94" t="s">
        <v>300</v>
      </c>
      <c r="C207" s="17" t="s">
        <v>309</v>
      </c>
      <c r="D207" s="17">
        <v>1</v>
      </c>
      <c r="E207">
        <f t="shared" si="13"/>
        <v>1</v>
      </c>
    </row>
    <row r="208" spans="2:9">
      <c r="B208" s="94"/>
      <c r="C208" s="17"/>
      <c r="D208" s="17"/>
    </row>
    <row r="209" spans="2:5">
      <c r="B209" s="94"/>
      <c r="C209" s="17"/>
      <c r="D209" s="17"/>
    </row>
    <row r="210" spans="2:5">
      <c r="B210" s="95"/>
      <c r="C210" s="17"/>
      <c r="D210" s="17"/>
    </row>
    <row r="211" spans="2:5">
      <c r="B211" s="17" t="s">
        <v>311</v>
      </c>
      <c r="C211" s="17" t="s">
        <v>303</v>
      </c>
      <c r="D211" s="17">
        <f>E211*1.1</f>
        <v>24.673000000000002</v>
      </c>
      <c r="E211" s="13">
        <f>26.09-3.66</f>
        <v>22.43</v>
      </c>
    </row>
    <row r="212" spans="2:5">
      <c r="B212" s="17" t="s">
        <v>311</v>
      </c>
      <c r="C212" s="17" t="s">
        <v>304</v>
      </c>
      <c r="D212" s="17">
        <f>E212*1.1</f>
        <v>18.37</v>
      </c>
      <c r="E212" s="13">
        <v>16.7</v>
      </c>
    </row>
    <row r="213" spans="2:5">
      <c r="B213" s="17" t="s">
        <v>311</v>
      </c>
      <c r="C213" s="17" t="s">
        <v>305</v>
      </c>
      <c r="D213" s="97">
        <v>15</v>
      </c>
      <c r="E213">
        <f t="shared" ref="E213:E218" si="14">D213</f>
        <v>15</v>
      </c>
    </row>
    <row r="214" spans="2:5">
      <c r="B214" s="17" t="s">
        <v>311</v>
      </c>
      <c r="C214" s="17" t="s">
        <v>301</v>
      </c>
      <c r="D214" s="97">
        <v>3</v>
      </c>
      <c r="E214">
        <f t="shared" si="14"/>
        <v>3</v>
      </c>
    </row>
    <row r="215" spans="2:5">
      <c r="B215" s="17" t="s">
        <v>311</v>
      </c>
      <c r="C215" s="17" t="s">
        <v>306</v>
      </c>
      <c r="D215" s="97">
        <v>3</v>
      </c>
      <c r="E215">
        <f t="shared" si="14"/>
        <v>3</v>
      </c>
    </row>
    <row r="216" spans="2:5">
      <c r="B216" s="17" t="s">
        <v>311</v>
      </c>
      <c r="C216" s="17" t="s">
        <v>307</v>
      </c>
      <c r="D216" s="97">
        <v>1</v>
      </c>
      <c r="E216">
        <f t="shared" si="14"/>
        <v>1</v>
      </c>
    </row>
    <row r="217" spans="2:5">
      <c r="B217" s="17" t="s">
        <v>311</v>
      </c>
      <c r="C217" s="17" t="s">
        <v>297</v>
      </c>
      <c r="D217" s="97">
        <v>1</v>
      </c>
      <c r="E217">
        <f t="shared" si="14"/>
        <v>1</v>
      </c>
    </row>
    <row r="218" spans="2:5">
      <c r="B218" s="17" t="s">
        <v>311</v>
      </c>
      <c r="C218" s="94" t="s">
        <v>310</v>
      </c>
      <c r="D218" s="97">
        <f>1+1</f>
        <v>2</v>
      </c>
      <c r="E218">
        <f t="shared" si="14"/>
        <v>2</v>
      </c>
    </row>
    <row r="219" spans="2:5">
      <c r="B219" s="17"/>
      <c r="C219" s="17"/>
      <c r="D219" s="17"/>
    </row>
    <row r="220" spans="2:5">
      <c r="B220" s="17"/>
      <c r="C220" s="17"/>
      <c r="D220" s="17"/>
    </row>
    <row r="221" spans="2:5">
      <c r="B221" s="17" t="s">
        <v>326</v>
      </c>
      <c r="C221" s="17" t="s">
        <v>324</v>
      </c>
      <c r="D221" s="17">
        <v>1</v>
      </c>
      <c r="E221">
        <f>D221</f>
        <v>1</v>
      </c>
    </row>
    <row r="222" spans="2:5">
      <c r="B222" s="17" t="s">
        <v>326</v>
      </c>
      <c r="C222" s="17" t="s">
        <v>325</v>
      </c>
      <c r="D222" s="17">
        <v>7</v>
      </c>
      <c r="E222">
        <f>D222</f>
        <v>7</v>
      </c>
    </row>
    <row r="223" spans="2:5">
      <c r="B223" s="17" t="s">
        <v>326</v>
      </c>
      <c r="C223" s="17" t="s">
        <v>327</v>
      </c>
      <c r="D223" s="17">
        <v>7</v>
      </c>
      <c r="E223">
        <f>D223</f>
        <v>7</v>
      </c>
    </row>
    <row r="224" spans="2:5">
      <c r="B224" s="17" t="s">
        <v>326</v>
      </c>
      <c r="C224" s="17" t="s">
        <v>328</v>
      </c>
      <c r="D224" s="17">
        <v>8</v>
      </c>
      <c r="E224">
        <f>D224</f>
        <v>8</v>
      </c>
    </row>
    <row r="225" spans="1:34">
      <c r="B225" s="17" t="s">
        <v>326</v>
      </c>
      <c r="C225" s="17" t="s">
        <v>329</v>
      </c>
      <c r="D225" s="17">
        <v>6</v>
      </c>
      <c r="E225" s="621"/>
      <c r="F225" s="588"/>
      <c r="G225" s="588"/>
    </row>
    <row r="226" spans="1:34">
      <c r="B226" s="17" t="s">
        <v>326</v>
      </c>
      <c r="C226" s="17" t="s">
        <v>330</v>
      </c>
      <c r="D226" s="17">
        <v>11</v>
      </c>
    </row>
    <row r="227" spans="1:34">
      <c r="B227" s="17" t="s">
        <v>326</v>
      </c>
      <c r="C227" s="17" t="s">
        <v>331</v>
      </c>
      <c r="D227" s="17">
        <v>18</v>
      </c>
      <c r="E227" s="622" t="s">
        <v>333</v>
      </c>
    </row>
    <row r="228" spans="1:34">
      <c r="B228" s="17" t="s">
        <v>326</v>
      </c>
      <c r="C228" s="17" t="s">
        <v>332</v>
      </c>
      <c r="D228" s="17">
        <v>5</v>
      </c>
      <c r="E228" s="622"/>
    </row>
    <row r="229" spans="1:34">
      <c r="B229" s="17" t="s">
        <v>326</v>
      </c>
      <c r="C229" s="17"/>
      <c r="D229" s="17"/>
    </row>
    <row r="230" spans="1:34">
      <c r="B230" s="17" t="s">
        <v>326</v>
      </c>
      <c r="C230" s="17"/>
      <c r="D230" s="17"/>
      <c r="AE230" s="132"/>
      <c r="AF230" s="132"/>
      <c r="AG230" s="132"/>
      <c r="AH230" s="132"/>
    </row>
    <row r="231" spans="1:34">
      <c r="B231" s="17"/>
      <c r="C231" s="17"/>
      <c r="D231" s="17"/>
    </row>
    <row r="232" spans="1:34" ht="15.75" thickBot="1"/>
    <row r="233" spans="1:34" ht="15.75" thickBot="1">
      <c r="B233" s="595" t="s">
        <v>378</v>
      </c>
      <c r="C233" s="596"/>
      <c r="D233" s="596"/>
      <c r="E233" s="596"/>
      <c r="F233" s="596"/>
      <c r="G233" s="596"/>
      <c r="H233" s="596"/>
      <c r="I233" s="596"/>
      <c r="J233" s="596"/>
      <c r="K233" s="596"/>
      <c r="L233" s="623"/>
    </row>
    <row r="234" spans="1:34" s="132" customFormat="1" ht="15.75" thickBot="1">
      <c r="A234" s="30"/>
      <c r="B234" s="133"/>
      <c r="C234" s="133"/>
      <c r="D234" s="133"/>
      <c r="E234" s="133"/>
      <c r="F234" s="133"/>
      <c r="G234" s="133"/>
      <c r="H234" s="110"/>
      <c r="I234" s="110"/>
      <c r="J234" s="110"/>
      <c r="K234" s="110"/>
      <c r="L234" s="110"/>
      <c r="AB234"/>
      <c r="AC234"/>
      <c r="AE234"/>
      <c r="AF234" s="213"/>
      <c r="AG234"/>
      <c r="AH234" s="213"/>
    </row>
    <row r="235" spans="1:34" ht="15.75" thickBot="1">
      <c r="B235" s="595" t="s">
        <v>381</v>
      </c>
      <c r="C235" s="596"/>
      <c r="D235" s="596"/>
      <c r="E235" s="596"/>
      <c r="F235" s="596"/>
      <c r="G235" s="596"/>
      <c r="AB235" s="132"/>
      <c r="AC235" s="132"/>
    </row>
    <row r="236" spans="1:34" ht="15.75" customHeight="1">
      <c r="A236" s="123"/>
      <c r="B236" s="624" t="s">
        <v>133</v>
      </c>
      <c r="C236" s="625" t="s">
        <v>139</v>
      </c>
      <c r="D236" s="626" t="s">
        <v>380</v>
      </c>
      <c r="E236" s="617" t="s">
        <v>141</v>
      </c>
      <c r="F236" s="617" t="s">
        <v>144</v>
      </c>
      <c r="G236" s="617" t="s">
        <v>140</v>
      </c>
      <c r="H236" s="125"/>
      <c r="I236" s="589" t="s">
        <v>377</v>
      </c>
      <c r="J236" s="590"/>
      <c r="K236" s="590"/>
      <c r="L236" s="591"/>
    </row>
    <row r="237" spans="1:34" ht="15" customHeight="1" thickBot="1">
      <c r="A237" s="123"/>
      <c r="B237" s="624"/>
      <c r="C237" s="625"/>
      <c r="D237" s="626"/>
      <c r="E237" s="617"/>
      <c r="F237" s="617"/>
      <c r="G237" s="617"/>
      <c r="H237" s="125"/>
      <c r="I237" s="592"/>
      <c r="J237" s="593"/>
      <c r="K237" s="593"/>
      <c r="L237" s="594"/>
    </row>
    <row r="238" spans="1:34" ht="15" customHeight="1">
      <c r="A238" s="123"/>
      <c r="B238" s="23" t="s">
        <v>142</v>
      </c>
      <c r="C238" s="13">
        <v>29.3</v>
      </c>
      <c r="D238" s="13">
        <v>28</v>
      </c>
      <c r="E238" s="13">
        <v>0.4</v>
      </c>
      <c r="F238" s="13">
        <v>0.4</v>
      </c>
      <c r="G238" s="124">
        <f>((C238*E238)+(D238*F238))</f>
        <v>22.92</v>
      </c>
      <c r="H238" s="628"/>
      <c r="I238" s="627" t="s">
        <v>355</v>
      </c>
      <c r="J238" s="127" t="s">
        <v>353</v>
      </c>
      <c r="K238" s="116" t="s">
        <v>354</v>
      </c>
      <c r="L238" s="107" t="s">
        <v>266</v>
      </c>
    </row>
    <row r="239" spans="1:34">
      <c r="A239" s="123"/>
      <c r="B239" s="109" t="s">
        <v>148</v>
      </c>
      <c r="C239" s="13">
        <v>11.7</v>
      </c>
      <c r="D239" s="13">
        <f>2*5.85</f>
        <v>11.7</v>
      </c>
      <c r="E239" s="13">
        <v>0.4</v>
      </c>
      <c r="F239" s="13">
        <v>0.4</v>
      </c>
      <c r="G239" s="124">
        <f>((C239*E239)+(D239*F239))</f>
        <v>9.36</v>
      </c>
      <c r="H239" s="628"/>
      <c r="I239" s="627"/>
      <c r="J239" s="128"/>
      <c r="K239" s="115"/>
      <c r="L239" s="108"/>
    </row>
    <row r="240" spans="1:34">
      <c r="A240" s="123"/>
      <c r="B240" s="109" t="s">
        <v>151</v>
      </c>
      <c r="C240" s="13">
        <v>25.4</v>
      </c>
      <c r="D240" s="13">
        <v>24.15</v>
      </c>
      <c r="E240" s="13">
        <v>0.4</v>
      </c>
      <c r="F240" s="13">
        <v>0.4</v>
      </c>
      <c r="G240" s="124">
        <f>((C240*E240)+(D240*F240))</f>
        <v>19.82</v>
      </c>
      <c r="H240" s="110"/>
      <c r="I240" s="106" t="s">
        <v>352</v>
      </c>
      <c r="J240" s="114">
        <v>27.85</v>
      </c>
      <c r="K240" s="17">
        <f>0.2+(2*0.02)</f>
        <v>0.24000000000000002</v>
      </c>
      <c r="L240" s="17">
        <f>J240*K240</f>
        <v>6.6840000000000011</v>
      </c>
    </row>
    <row r="241" spans="1:12">
      <c r="A241" s="123"/>
      <c r="B241" s="109">
        <v>15</v>
      </c>
      <c r="C241" s="13">
        <v>3.7</v>
      </c>
      <c r="D241" s="13">
        <v>3.5</v>
      </c>
      <c r="E241" s="13">
        <v>0.4</v>
      </c>
      <c r="F241" s="13">
        <v>0.4</v>
      </c>
      <c r="G241" s="124">
        <f>((C241*F241)+(D241*F241))</f>
        <v>2.8800000000000003</v>
      </c>
      <c r="H241" s="110"/>
      <c r="I241" s="106" t="s">
        <v>356</v>
      </c>
      <c r="J241" s="114">
        <v>5.75</v>
      </c>
      <c r="K241" s="17">
        <f t="shared" ref="K241:K260" si="15">0.2+(2*0.02)</f>
        <v>0.24000000000000002</v>
      </c>
      <c r="L241" s="17">
        <f t="shared" ref="L241:L260" si="16">J241*K241</f>
        <v>1.3800000000000001</v>
      </c>
    </row>
    <row r="242" spans="1:12">
      <c r="A242" s="123"/>
      <c r="B242" s="109">
        <v>16</v>
      </c>
      <c r="C242" s="13">
        <v>3.5</v>
      </c>
      <c r="D242" s="13">
        <v>3.5</v>
      </c>
      <c r="E242" s="13">
        <v>0.4</v>
      </c>
      <c r="F242" s="13">
        <v>0.4</v>
      </c>
      <c r="G242" s="124">
        <f>((C242*F242)+(D242*F242))</f>
        <v>2.8000000000000003</v>
      </c>
      <c r="H242" s="110"/>
      <c r="I242" s="106" t="s">
        <v>357</v>
      </c>
      <c r="J242" s="114">
        <v>16.05</v>
      </c>
      <c r="K242" s="17">
        <f t="shared" si="15"/>
        <v>0.24000000000000002</v>
      </c>
      <c r="L242" s="17">
        <f t="shared" si="16"/>
        <v>3.8520000000000003</v>
      </c>
    </row>
    <row r="243" spans="1:12">
      <c r="A243" s="123"/>
      <c r="B243" s="109">
        <v>17</v>
      </c>
      <c r="C243" s="13">
        <v>3.5</v>
      </c>
      <c r="D243" s="13">
        <v>3.5</v>
      </c>
      <c r="E243" s="13">
        <v>0.4</v>
      </c>
      <c r="F243" s="13">
        <v>0.4</v>
      </c>
      <c r="G243" s="124">
        <f>((C243*F243)+(D243*F243))</f>
        <v>2.8000000000000003</v>
      </c>
      <c r="H243" s="110"/>
      <c r="I243" s="106" t="s">
        <v>358</v>
      </c>
      <c r="J243" s="126">
        <v>7</v>
      </c>
      <c r="K243" s="17">
        <f t="shared" si="15"/>
        <v>0.24000000000000002</v>
      </c>
      <c r="L243" s="17">
        <f t="shared" si="16"/>
        <v>1.6800000000000002</v>
      </c>
    </row>
    <row r="244" spans="1:12">
      <c r="A244" s="123"/>
      <c r="B244" s="109">
        <v>18</v>
      </c>
      <c r="C244" s="13">
        <v>3.5</v>
      </c>
      <c r="D244" s="13">
        <v>3.5</v>
      </c>
      <c r="E244" s="13">
        <v>0.4</v>
      </c>
      <c r="F244" s="13">
        <v>0.4</v>
      </c>
      <c r="G244" s="124">
        <f>((C244*F244)+(D244*F244))</f>
        <v>2.8000000000000003</v>
      </c>
      <c r="H244" s="110"/>
      <c r="I244" s="106" t="s">
        <v>359</v>
      </c>
      <c r="J244" s="126">
        <v>4.8</v>
      </c>
      <c r="K244" s="17">
        <f t="shared" si="15"/>
        <v>0.24000000000000002</v>
      </c>
      <c r="L244" s="17">
        <f t="shared" si="16"/>
        <v>1.1520000000000001</v>
      </c>
    </row>
    <row r="245" spans="1:12">
      <c r="A245" s="123"/>
      <c r="B245" s="109">
        <v>19</v>
      </c>
      <c r="C245" s="13">
        <v>3.9</v>
      </c>
      <c r="D245" s="13">
        <v>3.5</v>
      </c>
      <c r="E245" s="13">
        <v>0.4</v>
      </c>
      <c r="F245" s="13">
        <v>0.4</v>
      </c>
      <c r="G245" s="124">
        <f>((C245*E245)+(D245*F245))</f>
        <v>2.96</v>
      </c>
      <c r="H245" s="110"/>
      <c r="I245" s="106" t="s">
        <v>360</v>
      </c>
      <c r="J245" s="126">
        <v>24.6</v>
      </c>
      <c r="K245" s="17">
        <f t="shared" si="15"/>
        <v>0.24000000000000002</v>
      </c>
      <c r="L245" s="17">
        <f t="shared" si="16"/>
        <v>5.9040000000000008</v>
      </c>
    </row>
    <row r="246" spans="1:12">
      <c r="A246" s="123"/>
      <c r="B246" s="109" t="s">
        <v>150</v>
      </c>
      <c r="C246" s="13">
        <v>6.4</v>
      </c>
      <c r="D246" s="13">
        <v>5.85</v>
      </c>
      <c r="E246" s="13">
        <v>0.4</v>
      </c>
      <c r="F246" s="13">
        <v>0.4</v>
      </c>
      <c r="G246" s="124">
        <f>((C246*E246)+(D246*F246))</f>
        <v>4.9000000000000004</v>
      </c>
      <c r="H246" s="110"/>
      <c r="I246" s="106" t="s">
        <v>361</v>
      </c>
      <c r="J246" s="126">
        <v>3.5</v>
      </c>
      <c r="K246" s="17">
        <f t="shared" si="15"/>
        <v>0.24000000000000002</v>
      </c>
      <c r="L246" s="17">
        <f t="shared" si="16"/>
        <v>0.84000000000000008</v>
      </c>
    </row>
    <row r="247" spans="1:12">
      <c r="A247" s="123"/>
      <c r="B247" s="13" t="s">
        <v>145</v>
      </c>
      <c r="C247" s="13">
        <v>5.85</v>
      </c>
      <c r="D247" s="13">
        <v>5.85</v>
      </c>
      <c r="E247" s="13">
        <v>0.4</v>
      </c>
      <c r="F247" s="13">
        <v>0.4</v>
      </c>
      <c r="G247" s="124">
        <f>((C247*E247)+(D247*F247))</f>
        <v>4.68</v>
      </c>
      <c r="H247" s="110"/>
      <c r="I247" s="106" t="s">
        <v>362</v>
      </c>
      <c r="J247" s="126">
        <v>3.5</v>
      </c>
      <c r="K247" s="17">
        <f t="shared" si="15"/>
        <v>0.24000000000000002</v>
      </c>
      <c r="L247" s="17">
        <f t="shared" si="16"/>
        <v>0.84000000000000008</v>
      </c>
    </row>
    <row r="248" spans="1:12">
      <c r="A248" s="123"/>
      <c r="B248" s="13" t="s">
        <v>146</v>
      </c>
      <c r="C248" s="13">
        <v>5.85</v>
      </c>
      <c r="D248" s="13">
        <v>5.85</v>
      </c>
      <c r="E248" s="13">
        <v>0.4</v>
      </c>
      <c r="F248" s="13">
        <v>0.4</v>
      </c>
      <c r="G248" s="124">
        <f>((C248*E248)+(D248*F248))</f>
        <v>4.68</v>
      </c>
      <c r="H248" s="110"/>
      <c r="I248" s="106" t="s">
        <v>363</v>
      </c>
      <c r="J248" s="126">
        <v>28.1</v>
      </c>
      <c r="K248" s="17">
        <f t="shared" si="15"/>
        <v>0.24000000000000002</v>
      </c>
      <c r="L248" s="17">
        <f t="shared" si="16"/>
        <v>6.7440000000000007</v>
      </c>
    </row>
    <row r="249" spans="1:12">
      <c r="A249" s="123"/>
      <c r="B249" s="109">
        <v>23</v>
      </c>
      <c r="C249" s="13">
        <v>6</v>
      </c>
      <c r="D249" s="13">
        <v>5.85</v>
      </c>
      <c r="E249" s="13">
        <v>0.4</v>
      </c>
      <c r="F249" s="13">
        <v>0.4</v>
      </c>
      <c r="G249" s="124">
        <f>((C249*F249)+(D249*F249))</f>
        <v>4.74</v>
      </c>
      <c r="H249" s="110"/>
      <c r="I249" s="106" t="s">
        <v>364</v>
      </c>
      <c r="J249" s="126">
        <v>17.12</v>
      </c>
      <c r="K249" s="17">
        <f t="shared" si="15"/>
        <v>0.24000000000000002</v>
      </c>
      <c r="L249" s="17">
        <f t="shared" si="16"/>
        <v>4.1088000000000005</v>
      </c>
    </row>
    <row r="250" spans="1:12">
      <c r="A250" s="123"/>
      <c r="B250" s="109">
        <v>24</v>
      </c>
      <c r="C250" s="13">
        <v>6</v>
      </c>
      <c r="D250" s="13">
        <v>6</v>
      </c>
      <c r="E250" s="13">
        <v>0.4</v>
      </c>
      <c r="F250" s="13">
        <v>0.4</v>
      </c>
      <c r="G250" s="124">
        <f>((C250*F250)+(D250*F250))</f>
        <v>4.8000000000000007</v>
      </c>
      <c r="H250" s="110"/>
      <c r="I250" s="106" t="s">
        <v>365</v>
      </c>
      <c r="J250" s="126">
        <v>5.65</v>
      </c>
      <c r="K250" s="17">
        <f t="shared" si="15"/>
        <v>0.24000000000000002</v>
      </c>
      <c r="L250" s="17">
        <f t="shared" si="16"/>
        <v>1.3560000000000001</v>
      </c>
    </row>
    <row r="251" spans="1:12">
      <c r="A251" s="123"/>
      <c r="B251" s="109">
        <v>25</v>
      </c>
      <c r="C251" s="13">
        <v>6</v>
      </c>
      <c r="D251" s="13">
        <v>6</v>
      </c>
      <c r="E251" s="13">
        <v>0.4</v>
      </c>
      <c r="F251" s="13">
        <v>0.4</v>
      </c>
      <c r="G251" s="124">
        <f>((C251*F251)+(D251*F251))</f>
        <v>4.8000000000000007</v>
      </c>
      <c r="H251" s="110"/>
      <c r="I251" s="106" t="s">
        <v>366</v>
      </c>
      <c r="J251" s="126">
        <v>11.7</v>
      </c>
      <c r="K251" s="17">
        <f t="shared" si="15"/>
        <v>0.24000000000000002</v>
      </c>
      <c r="L251" s="17">
        <f t="shared" si="16"/>
        <v>2.8079999999999998</v>
      </c>
    </row>
    <row r="252" spans="1:12">
      <c r="A252" s="123"/>
      <c r="B252" s="109">
        <v>26</v>
      </c>
      <c r="C252" s="13">
        <v>6</v>
      </c>
      <c r="D252" s="13">
        <v>6</v>
      </c>
      <c r="E252" s="13">
        <v>0.4</v>
      </c>
      <c r="F252" s="13">
        <v>0.4</v>
      </c>
      <c r="G252" s="124">
        <f>((C252*F252)+(D252*F252))</f>
        <v>4.8000000000000007</v>
      </c>
      <c r="H252" s="110"/>
      <c r="I252" s="106" t="s">
        <v>367</v>
      </c>
      <c r="J252" s="126">
        <v>5.75</v>
      </c>
      <c r="K252" s="17">
        <f t="shared" si="15"/>
        <v>0.24000000000000002</v>
      </c>
      <c r="L252" s="17">
        <f t="shared" si="16"/>
        <v>1.3800000000000001</v>
      </c>
    </row>
    <row r="253" spans="1:12">
      <c r="A253" s="123"/>
      <c r="B253" s="13" t="s">
        <v>147</v>
      </c>
      <c r="C253" s="13">
        <v>18.5</v>
      </c>
      <c r="D253" s="13">
        <v>17.5</v>
      </c>
      <c r="E253" s="13">
        <v>0.4</v>
      </c>
      <c r="F253" s="13">
        <v>0.4</v>
      </c>
      <c r="G253" s="124">
        <f>((C253*E253)+(D253*F253))</f>
        <v>14.4</v>
      </c>
      <c r="H253" s="110"/>
      <c r="I253" s="106" t="s">
        <v>368</v>
      </c>
      <c r="J253" s="126">
        <v>11.7</v>
      </c>
      <c r="K253" s="17">
        <f t="shared" si="15"/>
        <v>0.24000000000000002</v>
      </c>
      <c r="L253" s="17">
        <f t="shared" si="16"/>
        <v>2.8079999999999998</v>
      </c>
    </row>
    <row r="254" spans="1:12">
      <c r="A254" s="123"/>
      <c r="B254" s="109">
        <v>31</v>
      </c>
      <c r="C254" s="13">
        <v>1.1499999999999999</v>
      </c>
      <c r="D254" s="13">
        <v>1</v>
      </c>
      <c r="E254" s="13">
        <v>0.4</v>
      </c>
      <c r="F254" s="13">
        <v>0.4</v>
      </c>
      <c r="G254" s="124">
        <f>((C254*F254)+(D254*F254))</f>
        <v>0.86</v>
      </c>
      <c r="H254" s="110"/>
      <c r="I254" s="106" t="s">
        <v>369</v>
      </c>
      <c r="J254" s="126">
        <v>5.8</v>
      </c>
      <c r="K254" s="17">
        <f t="shared" si="15"/>
        <v>0.24000000000000002</v>
      </c>
      <c r="L254" s="17">
        <f t="shared" si="16"/>
        <v>1.3920000000000001</v>
      </c>
    </row>
    <row r="255" spans="1:12">
      <c r="A255" s="123"/>
      <c r="B255" s="109">
        <v>32</v>
      </c>
      <c r="C255" s="13">
        <v>2.15</v>
      </c>
      <c r="D255" s="13">
        <v>2</v>
      </c>
      <c r="E255" s="13">
        <v>0.4</v>
      </c>
      <c r="F255" s="13">
        <v>0.4</v>
      </c>
      <c r="G255" s="124">
        <f>((C255*F255)+(D255*F255))</f>
        <v>1.6600000000000001</v>
      </c>
      <c r="H255" s="110"/>
      <c r="I255" s="106" t="s">
        <v>370</v>
      </c>
      <c r="J255" s="126">
        <v>5.8</v>
      </c>
      <c r="K255" s="17">
        <f t="shared" si="15"/>
        <v>0.24000000000000002</v>
      </c>
      <c r="L255" s="17">
        <f t="shared" si="16"/>
        <v>1.3920000000000001</v>
      </c>
    </row>
    <row r="256" spans="1:12">
      <c r="A256" s="123"/>
      <c r="B256" s="109" t="s">
        <v>149</v>
      </c>
      <c r="C256" s="13">
        <v>12.1</v>
      </c>
      <c r="D256" s="13">
        <v>11.5</v>
      </c>
      <c r="E256" s="13">
        <v>0.4</v>
      </c>
      <c r="F256" s="13">
        <v>0.4</v>
      </c>
      <c r="G256" s="124">
        <f>((C256*E256)+(D256*F256))</f>
        <v>9.4400000000000013</v>
      </c>
      <c r="H256" s="110"/>
      <c r="I256" s="106" t="s">
        <v>371</v>
      </c>
      <c r="J256" s="126">
        <v>5.25</v>
      </c>
      <c r="K256" s="17">
        <f t="shared" si="15"/>
        <v>0.24000000000000002</v>
      </c>
      <c r="L256" s="17">
        <f t="shared" si="16"/>
        <v>1.26</v>
      </c>
    </row>
    <row r="257" spans="1:12">
      <c r="A257" s="123"/>
      <c r="B257" s="28">
        <v>33</v>
      </c>
      <c r="C257" s="26">
        <v>1.55</v>
      </c>
      <c r="D257" s="26">
        <v>1.55</v>
      </c>
      <c r="E257" s="13">
        <v>0.4</v>
      </c>
      <c r="F257" s="13">
        <v>0.4</v>
      </c>
      <c r="G257" s="124">
        <f>((C257*F257)+(D257*F257))</f>
        <v>1.2400000000000002</v>
      </c>
      <c r="H257" s="110"/>
      <c r="I257" s="106" t="s">
        <v>372</v>
      </c>
      <c r="J257" s="114">
        <v>6.45</v>
      </c>
      <c r="K257" s="17">
        <f t="shared" si="15"/>
        <v>0.24000000000000002</v>
      </c>
      <c r="L257" s="17">
        <f t="shared" si="16"/>
        <v>1.5480000000000003</v>
      </c>
    </row>
    <row r="258" spans="1:12">
      <c r="A258" s="123"/>
      <c r="B258" s="109">
        <v>50</v>
      </c>
      <c r="C258" s="13">
        <v>3.85</v>
      </c>
      <c r="D258" s="13">
        <v>3.4</v>
      </c>
      <c r="E258" s="13">
        <v>3.2</v>
      </c>
      <c r="F258" s="13">
        <v>3.2</v>
      </c>
      <c r="G258" s="26">
        <f>((C258*E258)+(D258*F258))</f>
        <v>23.200000000000003</v>
      </c>
      <c r="H258" s="110"/>
      <c r="I258" s="106" t="s">
        <v>373</v>
      </c>
      <c r="J258" s="126">
        <v>6.1</v>
      </c>
      <c r="K258" s="17">
        <f t="shared" si="15"/>
        <v>0.24000000000000002</v>
      </c>
      <c r="L258" s="17">
        <f t="shared" si="16"/>
        <v>1.464</v>
      </c>
    </row>
    <row r="259" spans="1:12">
      <c r="A259" s="123"/>
      <c r="B259" s="109">
        <v>51</v>
      </c>
      <c r="C259" s="13">
        <v>3</v>
      </c>
      <c r="D259" s="13">
        <v>2.75</v>
      </c>
      <c r="E259" s="13">
        <v>3.2</v>
      </c>
      <c r="F259" s="13">
        <v>3.2</v>
      </c>
      <c r="G259" s="26">
        <f>((C259*E259)+(D259*F259))</f>
        <v>18.400000000000002</v>
      </c>
      <c r="H259" s="110"/>
      <c r="I259" s="106" t="s">
        <v>374</v>
      </c>
      <c r="J259" s="126">
        <v>11.45</v>
      </c>
      <c r="K259" s="17">
        <f t="shared" si="15"/>
        <v>0.24000000000000002</v>
      </c>
      <c r="L259" s="17">
        <f t="shared" si="16"/>
        <v>2.7480000000000002</v>
      </c>
    </row>
    <row r="260" spans="1:12" ht="15.75" thickBot="1">
      <c r="A260" s="123"/>
      <c r="B260" s="109">
        <v>52</v>
      </c>
      <c r="C260" s="13">
        <v>2.7</v>
      </c>
      <c r="D260" s="13">
        <v>2.7</v>
      </c>
      <c r="E260" s="13">
        <v>3.2</v>
      </c>
      <c r="F260" s="13">
        <v>3.2</v>
      </c>
      <c r="G260" s="26">
        <f>((C260*E260)+(D260*F260))</f>
        <v>17.28</v>
      </c>
      <c r="H260" s="110"/>
      <c r="I260" s="33" t="s">
        <v>375</v>
      </c>
      <c r="J260" s="126">
        <v>17.45</v>
      </c>
      <c r="K260" s="17">
        <f t="shared" si="15"/>
        <v>0.24000000000000002</v>
      </c>
      <c r="L260" s="34">
        <f t="shared" si="16"/>
        <v>4.1879999999999997</v>
      </c>
    </row>
    <row r="261" spans="1:12" ht="15.75" thickBot="1">
      <c r="A261" s="123"/>
      <c r="B261" s="109">
        <v>53</v>
      </c>
      <c r="C261" s="13">
        <v>3</v>
      </c>
      <c r="D261" s="13">
        <v>2.7</v>
      </c>
      <c r="E261" s="13">
        <v>3.2</v>
      </c>
      <c r="F261" s="13">
        <v>3.2</v>
      </c>
      <c r="G261" s="26">
        <f>((C261*E261)+(D261*F261))</f>
        <v>18.240000000000002</v>
      </c>
      <c r="H261" s="110"/>
      <c r="I261" s="129" t="s">
        <v>152</v>
      </c>
      <c r="J261" s="114"/>
      <c r="K261" s="113"/>
      <c r="L261" s="40">
        <f>SUM(L240:L260)</f>
        <v>55.528800000000011</v>
      </c>
    </row>
    <row r="262" spans="1:12" ht="15.75" thickBot="1">
      <c r="A262" s="123"/>
      <c r="B262" s="28">
        <v>54</v>
      </c>
      <c r="C262" s="13">
        <v>3.85</v>
      </c>
      <c r="D262" s="13">
        <v>3.55</v>
      </c>
      <c r="E262" s="13">
        <v>3.2</v>
      </c>
      <c r="F262" s="13">
        <v>3.2</v>
      </c>
      <c r="G262" s="26">
        <f>((C262*E262)+(D262*F262))</f>
        <v>23.68</v>
      </c>
      <c r="H262" s="110"/>
      <c r="I262" s="111"/>
      <c r="J262" s="36"/>
      <c r="K262" s="30"/>
      <c r="L262" s="122"/>
    </row>
    <row r="263" spans="1:12" ht="15.75" thickBot="1">
      <c r="A263" s="123"/>
      <c r="B263" s="130" t="s">
        <v>152</v>
      </c>
      <c r="C263" s="123"/>
      <c r="D263" s="123"/>
      <c r="E263" s="123"/>
      <c r="F263" s="30"/>
      <c r="G263" s="131">
        <f>SUM(G238:G262)</f>
        <v>228.14</v>
      </c>
      <c r="H263" s="110"/>
      <c r="I263" s="111"/>
      <c r="J263" s="36"/>
      <c r="K263" s="30"/>
      <c r="L263" s="122"/>
    </row>
    <row r="264" spans="1:12" ht="15.75" thickBot="1">
      <c r="A264" s="123"/>
      <c r="B264" s="123"/>
      <c r="C264" s="123"/>
      <c r="D264" s="123"/>
      <c r="E264" s="123"/>
      <c r="F264" s="30"/>
      <c r="G264" s="112"/>
      <c r="H264" s="110"/>
      <c r="I264" s="111"/>
      <c r="J264" s="36"/>
      <c r="K264" s="30"/>
      <c r="L264" s="122"/>
    </row>
    <row r="265" spans="1:12" ht="15" customHeight="1">
      <c r="A265" s="123"/>
      <c r="B265" s="576" t="s">
        <v>379</v>
      </c>
      <c r="C265" s="577"/>
      <c r="D265" s="578"/>
      <c r="E265" s="123"/>
      <c r="F265" s="30"/>
      <c r="G265" s="110"/>
      <c r="H265" s="111"/>
      <c r="I265" s="36"/>
      <c r="J265" s="30"/>
      <c r="K265" s="122"/>
      <c r="L265" s="30"/>
    </row>
    <row r="266" spans="1:12" ht="15" customHeight="1">
      <c r="A266" s="123"/>
      <c r="B266" s="618"/>
      <c r="C266" s="619"/>
      <c r="D266" s="620"/>
      <c r="E266" s="125"/>
      <c r="F266" s="125"/>
      <c r="G266" s="111"/>
      <c r="H266" s="125"/>
      <c r="I266" s="125"/>
      <c r="J266" s="125"/>
      <c r="K266" s="125"/>
      <c r="L266" s="125"/>
    </row>
    <row r="267" spans="1:12" ht="15.75" thickBot="1">
      <c r="A267" s="123"/>
      <c r="B267" s="579"/>
      <c r="C267" s="580"/>
      <c r="D267" s="581"/>
      <c r="E267" s="125"/>
      <c r="F267" s="125"/>
      <c r="G267" s="66"/>
      <c r="H267" s="125"/>
      <c r="I267" s="125"/>
      <c r="J267" s="125"/>
      <c r="K267" s="125"/>
      <c r="L267" s="125"/>
    </row>
    <row r="268" spans="1:12">
      <c r="A268" s="123"/>
      <c r="B268" s="118" t="s">
        <v>352</v>
      </c>
      <c r="C268" s="119">
        <f>(0.4*J240)+(0.2*J240)+(0.4*29.3)</f>
        <v>28.43</v>
      </c>
      <c r="D268" s="30"/>
      <c r="E268" s="30"/>
      <c r="F268" s="30"/>
      <c r="G268" s="111"/>
      <c r="H268" s="110"/>
      <c r="I268" s="30"/>
      <c r="J268" s="30"/>
      <c r="K268" s="30"/>
      <c r="L268" s="30"/>
    </row>
    <row r="269" spans="1:12">
      <c r="A269" s="123"/>
      <c r="B269" s="117" t="s">
        <v>356</v>
      </c>
      <c r="C269" s="17">
        <f>(2*0.4*J241)+(0.2*J241)</f>
        <v>5.7500000000000009</v>
      </c>
      <c r="D269" s="30"/>
      <c r="E269" s="30"/>
      <c r="F269" s="30"/>
      <c r="G269" s="111"/>
      <c r="H269" s="110"/>
      <c r="I269" s="30"/>
      <c r="J269" s="30"/>
      <c r="K269" s="30"/>
      <c r="L269" s="30"/>
    </row>
    <row r="270" spans="1:12">
      <c r="A270" s="123"/>
      <c r="B270" s="117" t="s">
        <v>357</v>
      </c>
      <c r="C270" s="17">
        <f>(2*0.4*J242)+(0.2*J242)</f>
        <v>16.05</v>
      </c>
      <c r="D270" s="30"/>
      <c r="E270" s="30"/>
      <c r="F270" s="30"/>
      <c r="G270" s="111"/>
      <c r="H270" s="110"/>
      <c r="I270" s="30"/>
      <c r="J270" s="30"/>
      <c r="K270" s="30"/>
      <c r="L270" s="30"/>
    </row>
    <row r="271" spans="1:12">
      <c r="A271" s="123"/>
      <c r="B271" s="117" t="s">
        <v>358</v>
      </c>
      <c r="C271" s="17">
        <f>(2*0.4*J243)+(0.2*J243)</f>
        <v>7.0000000000000009</v>
      </c>
      <c r="D271" s="30"/>
      <c r="E271" s="30"/>
      <c r="F271" s="30"/>
      <c r="G271" s="111"/>
      <c r="H271" s="110"/>
      <c r="I271" s="30"/>
      <c r="J271" s="30"/>
      <c r="K271" s="30"/>
      <c r="L271" s="30"/>
    </row>
    <row r="272" spans="1:12" ht="18.75">
      <c r="A272" s="123"/>
      <c r="B272" s="117" t="s">
        <v>359</v>
      </c>
      <c r="C272" s="17">
        <f>(2*0.4*J244)+(0.2*J244)</f>
        <v>4.8</v>
      </c>
      <c r="D272" s="30"/>
      <c r="E272" s="30"/>
      <c r="F272" s="573" t="s">
        <v>1163</v>
      </c>
      <c r="G272" s="573"/>
      <c r="H272" s="573"/>
      <c r="I272" s="573" t="s">
        <v>1165</v>
      </c>
      <c r="J272" s="573"/>
      <c r="K272" s="597" t="s">
        <v>1167</v>
      </c>
      <c r="L272" s="30"/>
    </row>
    <row r="273" spans="1:34" ht="18.75">
      <c r="A273" s="123"/>
      <c r="B273" s="117" t="s">
        <v>360</v>
      </c>
      <c r="C273" s="17">
        <f>(2*0.4*J245)+(0.2*J245)</f>
        <v>24.600000000000005</v>
      </c>
      <c r="D273" s="30"/>
      <c r="E273" s="30"/>
      <c r="F273" s="437" t="s">
        <v>1149</v>
      </c>
      <c r="G273" s="437" t="s">
        <v>1161</v>
      </c>
      <c r="H273" s="437" t="s">
        <v>1162</v>
      </c>
      <c r="I273" s="438" t="s">
        <v>1169</v>
      </c>
      <c r="J273" s="438" t="s">
        <v>1170</v>
      </c>
      <c r="K273" s="598"/>
      <c r="AE273" s="213"/>
      <c r="AF273"/>
      <c r="AG273" s="213"/>
      <c r="AH273"/>
    </row>
    <row r="274" spans="1:34">
      <c r="A274" s="123"/>
      <c r="B274" s="117" t="s">
        <v>361</v>
      </c>
      <c r="C274" s="17">
        <f>(2*0.4*J246)+(0.15*J246)</f>
        <v>3.3250000000000002</v>
      </c>
      <c r="D274" s="30"/>
      <c r="E274" s="30"/>
      <c r="F274" s="435" t="s">
        <v>1155</v>
      </c>
      <c r="G274" s="433" t="s">
        <v>1150</v>
      </c>
      <c r="H274" s="117">
        <f>(0.2*0.25*0.26*5)</f>
        <v>6.5000000000000002E-2</v>
      </c>
      <c r="I274" s="17">
        <f>(0.617*(0.26*4)*5*1.1)</f>
        <v>3.5292400000000006</v>
      </c>
      <c r="J274" s="17">
        <f>((0.245*2.34)*5*1.1)</f>
        <v>3.1531499999999997</v>
      </c>
      <c r="K274" s="17">
        <f>((0.2*2)+(0.25*2))*0.26*5</f>
        <v>1.1700000000000002</v>
      </c>
      <c r="AE274" s="213"/>
      <c r="AF274"/>
      <c r="AG274" s="213"/>
      <c r="AH274"/>
    </row>
    <row r="275" spans="1:34">
      <c r="A275" s="123"/>
      <c r="B275" s="117" t="s">
        <v>362</v>
      </c>
      <c r="C275" s="17">
        <f>(2*0.4*J247)+(0.15*J247)</f>
        <v>3.3250000000000002</v>
      </c>
      <c r="D275" s="30"/>
      <c r="E275" s="30"/>
      <c r="F275" s="435" t="s">
        <v>1156</v>
      </c>
      <c r="G275" s="433" t="s">
        <v>1152</v>
      </c>
      <c r="H275" s="117">
        <f>(0.15*0.3*0.26)*6</f>
        <v>7.0199999999999999E-2</v>
      </c>
      <c r="I275" s="17">
        <f>(0.617*(0.26*4)*6*1.1)</f>
        <v>4.2350880000000002</v>
      </c>
      <c r="J275" s="17">
        <f>((0.245*2.34)*6*1.1)</f>
        <v>3.7837799999999997</v>
      </c>
      <c r="K275" s="17">
        <f>((0.15*2)+(0.3*2))*0.26*6</f>
        <v>1.4039999999999999</v>
      </c>
      <c r="AE275" s="213"/>
      <c r="AF275"/>
      <c r="AG275" s="213"/>
      <c r="AH275"/>
    </row>
    <row r="276" spans="1:34">
      <c r="A276" s="123"/>
      <c r="B276" s="117" t="s">
        <v>363</v>
      </c>
      <c r="C276" s="17">
        <f>(0.4*J240)+(0.2*J240)+(0.4*29.3)</f>
        <v>28.43</v>
      </c>
      <c r="D276" s="30"/>
      <c r="E276" s="30"/>
      <c r="F276" s="435" t="s">
        <v>113</v>
      </c>
      <c r="G276" s="433" t="s">
        <v>1154</v>
      </c>
      <c r="H276" s="117">
        <f>(0.2*0.4*0.26)*1</f>
        <v>2.0800000000000006E-2</v>
      </c>
      <c r="I276" s="17">
        <f>(0.617*(0.26*6)*1*1.1)</f>
        <v>1.058772</v>
      </c>
      <c r="J276" s="17">
        <f>((0.245*4.17)*1*1.1)</f>
        <v>1.123815</v>
      </c>
      <c r="K276" s="17">
        <f>((0.2*2)+(0.4*2))*0.26*1</f>
        <v>0.31200000000000006</v>
      </c>
      <c r="AE276" s="213"/>
      <c r="AF276"/>
      <c r="AG276" s="213"/>
      <c r="AH276"/>
    </row>
    <row r="277" spans="1:34" ht="30">
      <c r="A277" s="123"/>
      <c r="B277" s="117" t="s">
        <v>364</v>
      </c>
      <c r="C277" s="17">
        <f>(0.4*J241)+(0.2*J241)+(0.4*18.5)</f>
        <v>10.850000000000001</v>
      </c>
      <c r="F277" s="435" t="s">
        <v>1157</v>
      </c>
      <c r="G277" s="433" t="s">
        <v>1151</v>
      </c>
      <c r="H277" s="117">
        <f>(0.2*0.2*0.26)*8</f>
        <v>8.3200000000000024E-2</v>
      </c>
      <c r="I277" s="17">
        <f>(0.617*(0.26*4)*8*1.1)</f>
        <v>5.6467840000000011</v>
      </c>
      <c r="J277" s="17">
        <f>(0.245*2.04)*8*1.1</f>
        <v>4.3982400000000004</v>
      </c>
      <c r="K277" s="17">
        <f>((0.2*2)+(0.2*2))*0.26*8</f>
        <v>1.6640000000000001</v>
      </c>
      <c r="AE277" s="213"/>
      <c r="AF277"/>
      <c r="AG277" s="213"/>
      <c r="AH277"/>
    </row>
    <row r="278" spans="1:34">
      <c r="A278" s="123"/>
      <c r="B278" s="117" t="s">
        <v>365</v>
      </c>
      <c r="C278" s="17">
        <f>(0.4*6*2)+(0.2*6)</f>
        <v>6.0000000000000009</v>
      </c>
      <c r="F278" s="435" t="s">
        <v>1158</v>
      </c>
      <c r="G278" s="433" t="s">
        <v>1153</v>
      </c>
      <c r="H278" s="117">
        <f>(0.15*0.25*0.26)*2</f>
        <v>1.95E-2</v>
      </c>
      <c r="I278" s="17">
        <f>(0.617*(0.26*4)*2*1.1)</f>
        <v>1.4116960000000003</v>
      </c>
      <c r="J278" s="17">
        <f>(0.245*2.04)*2*1.1</f>
        <v>1.0995600000000001</v>
      </c>
      <c r="K278" s="17">
        <f>((0.15*2)+(0.25*2))*0.26*2</f>
        <v>0.41600000000000004</v>
      </c>
      <c r="AE278" s="213"/>
      <c r="AF278"/>
      <c r="AG278" s="213"/>
      <c r="AH278"/>
    </row>
    <row r="279" spans="1:34">
      <c r="A279" s="123"/>
      <c r="B279" s="117" t="s">
        <v>366</v>
      </c>
      <c r="C279" s="17">
        <f>(0.4*J251*2)+(0.2*J251)</f>
        <v>11.7</v>
      </c>
      <c r="F279" s="436" t="s">
        <v>1159</v>
      </c>
      <c r="G279" s="433" t="s">
        <v>1160</v>
      </c>
      <c r="H279" s="117">
        <f>(0.2*0.3*0.26)*2</f>
        <v>3.1199999999999999E-2</v>
      </c>
      <c r="I279" s="17">
        <f>(0.617*(0.26*4)*2*1.1)</f>
        <v>1.4116960000000003</v>
      </c>
      <c r="J279" s="17">
        <f>(0.245*2.64)*2*1.1</f>
        <v>1.4229600000000002</v>
      </c>
      <c r="K279" s="17">
        <f>((0.2*2)+(0.3*2))*0.26*2</f>
        <v>0.52</v>
      </c>
      <c r="L279" s="30"/>
    </row>
    <row r="280" spans="1:34">
      <c r="A280" s="123"/>
      <c r="B280" s="117" t="s">
        <v>367</v>
      </c>
      <c r="C280" s="17">
        <f>(0.4*J252*2)+(0.15*J252)</f>
        <v>5.4625000000000004</v>
      </c>
      <c r="F280" s="30"/>
      <c r="G280" s="417"/>
      <c r="H280" s="442">
        <f>SUM(H274:H279)</f>
        <v>0.28990000000000005</v>
      </c>
      <c r="I280" s="17">
        <f>SUM(I274:I279)</f>
        <v>17.293276000000002</v>
      </c>
      <c r="J280" s="17">
        <f>SUM(J274:J279)</f>
        <v>14.981504999999999</v>
      </c>
      <c r="K280" s="17">
        <f>SUM(K274:K279)</f>
        <v>5.4860000000000007</v>
      </c>
      <c r="L280" s="30"/>
    </row>
    <row r="281" spans="1:34">
      <c r="A281" s="123"/>
      <c r="B281" s="117" t="s">
        <v>368</v>
      </c>
      <c r="C281" s="17">
        <f>(0.4*J253*2)+(0.2*J253)</f>
        <v>11.7</v>
      </c>
      <c r="H281" s="110"/>
      <c r="I281" s="30"/>
      <c r="J281" s="30"/>
      <c r="L281" s="30"/>
    </row>
    <row r="282" spans="1:34">
      <c r="A282" s="123"/>
      <c r="B282" s="117" t="s">
        <v>369</v>
      </c>
      <c r="C282" s="17">
        <f>(0.5*J254*2)+(0.15*J254)</f>
        <v>6.67</v>
      </c>
      <c r="H282" s="110"/>
      <c r="I282" s="30"/>
      <c r="J282" s="30"/>
      <c r="K282" s="30"/>
      <c r="L282" s="30"/>
    </row>
    <row r="283" spans="1:34">
      <c r="A283" s="123"/>
      <c r="B283" s="117" t="s">
        <v>370</v>
      </c>
      <c r="C283" s="17">
        <f>(0.5*J255*2)+(0.15*J255)</f>
        <v>6.67</v>
      </c>
      <c r="H283" s="110"/>
      <c r="I283" s="30"/>
      <c r="J283" s="30"/>
      <c r="K283" s="30"/>
      <c r="L283" s="30"/>
    </row>
    <row r="284" spans="1:34">
      <c r="A284" s="123"/>
      <c r="B284" s="117" t="s">
        <v>371</v>
      </c>
      <c r="C284" s="17">
        <f>(0.4*J256*2)+(0.2*J256)</f>
        <v>5.25</v>
      </c>
      <c r="H284" s="110"/>
      <c r="I284" s="30"/>
      <c r="J284" s="30"/>
      <c r="K284" s="30"/>
      <c r="L284" s="30"/>
    </row>
    <row r="285" spans="1:34">
      <c r="A285" s="123"/>
      <c r="B285" s="117" t="s">
        <v>372</v>
      </c>
      <c r="C285" s="17">
        <f>(0.4*J257*2)+(0.2*J257)</f>
        <v>6.45</v>
      </c>
      <c r="H285" s="110"/>
      <c r="I285" s="30"/>
      <c r="J285" s="30"/>
      <c r="K285" s="30"/>
      <c r="L285" s="30"/>
    </row>
    <row r="286" spans="1:34">
      <c r="A286" s="123"/>
      <c r="B286" s="117" t="s">
        <v>373</v>
      </c>
      <c r="C286" s="17">
        <f>(0.5*J258*2)+(0.15*J258)</f>
        <v>7.0149999999999997</v>
      </c>
      <c r="H286" s="110"/>
      <c r="I286" s="30"/>
      <c r="J286" s="30"/>
      <c r="K286" s="30"/>
      <c r="L286" s="30"/>
    </row>
    <row r="287" spans="1:34">
      <c r="A287" s="123"/>
      <c r="B287" s="117" t="s">
        <v>374</v>
      </c>
      <c r="C287" s="17">
        <f>(0.5*J259*2)+(0.2*J259)</f>
        <v>13.739999999999998</v>
      </c>
      <c r="H287" s="110"/>
      <c r="I287" s="30"/>
      <c r="J287" s="30"/>
      <c r="K287" s="30"/>
      <c r="L287" s="30"/>
    </row>
    <row r="288" spans="1:34">
      <c r="A288" s="123"/>
      <c r="B288" s="117" t="s">
        <v>375</v>
      </c>
      <c r="C288" s="13">
        <f>(0.4*J260)+(0.2*J260)+(0.4*18.5)</f>
        <v>17.87</v>
      </c>
      <c r="H288" s="110"/>
      <c r="I288" s="30"/>
      <c r="J288" s="30"/>
      <c r="K288" s="30"/>
      <c r="L288" s="30"/>
    </row>
    <row r="289" spans="1:34">
      <c r="A289" s="123"/>
      <c r="B289" s="75" t="s">
        <v>152</v>
      </c>
      <c r="C289" s="120">
        <f>SUM(C268:C288)</f>
        <v>231.08749999999995</v>
      </c>
      <c r="H289" s="110"/>
      <c r="I289" s="122"/>
      <c r="J289" s="30"/>
      <c r="K289" s="30"/>
      <c r="L289" s="30"/>
    </row>
    <row r="290" spans="1:34">
      <c r="B290" s="30"/>
      <c r="C290" s="121"/>
      <c r="D290" s="30"/>
      <c r="E290" s="30"/>
      <c r="H290" s="112"/>
      <c r="AE290" s="210"/>
      <c r="AG290" s="210"/>
    </row>
    <row r="291" spans="1:34">
      <c r="B291" s="30"/>
      <c r="C291" s="121"/>
      <c r="D291" s="30"/>
      <c r="E291" s="30"/>
      <c r="H291" s="110"/>
    </row>
    <row r="292" spans="1:34" ht="15.75" thickBot="1">
      <c r="B292" s="30"/>
      <c r="C292" s="121"/>
      <c r="D292" s="30"/>
      <c r="E292" s="30"/>
      <c r="H292" s="110"/>
    </row>
    <row r="293" spans="1:34" ht="19.5" thickBot="1">
      <c r="B293" s="604" t="s">
        <v>423</v>
      </c>
      <c r="C293" s="605"/>
      <c r="D293" s="606"/>
      <c r="E293" s="30"/>
      <c r="F293" s="30"/>
      <c r="H293" s="210"/>
    </row>
    <row r="294" spans="1:34" s="210" customFormat="1" ht="16.5" thickBot="1">
      <c r="B294" s="218" t="s">
        <v>427</v>
      </c>
      <c r="C294" s="218" t="s">
        <v>424</v>
      </c>
      <c r="D294" s="218" t="s">
        <v>438</v>
      </c>
      <c r="E294" s="30"/>
      <c r="F294" s="30"/>
      <c r="G294"/>
      <c r="AB294"/>
      <c r="AC294"/>
      <c r="AE294"/>
      <c r="AF294" s="213"/>
      <c r="AG294"/>
      <c r="AH294" s="213"/>
    </row>
    <row r="295" spans="1:34" ht="19.5" thickBot="1">
      <c r="B295" s="21" t="s">
        <v>425</v>
      </c>
      <c r="C295" s="215" t="s">
        <v>426</v>
      </c>
      <c r="D295" s="223">
        <f>2*260*C311*1.1</f>
        <v>225.94000000000003</v>
      </c>
      <c r="E295" s="217"/>
      <c r="F295" s="607" t="s">
        <v>445</v>
      </c>
      <c r="G295" s="608"/>
      <c r="H295" s="210"/>
      <c r="AB295" s="210"/>
      <c r="AC295" s="210"/>
    </row>
    <row r="296" spans="1:34" ht="15.75">
      <c r="B296" s="21" t="s">
        <v>425</v>
      </c>
      <c r="C296" s="215" t="s">
        <v>428</v>
      </c>
      <c r="D296" s="223">
        <f>3*260*C312*1.1</f>
        <v>529.38600000000008</v>
      </c>
      <c r="E296" s="217"/>
      <c r="F296" s="225" t="s">
        <v>427</v>
      </c>
      <c r="G296" s="225" t="s">
        <v>447</v>
      </c>
      <c r="H296" s="210"/>
      <c r="AE296" s="210"/>
      <c r="AG296" s="210"/>
    </row>
    <row r="297" spans="1:34" ht="15.75">
      <c r="B297" s="21" t="s">
        <v>431</v>
      </c>
      <c r="C297" s="215" t="s">
        <v>430</v>
      </c>
      <c r="D297" s="223">
        <f>1300*1.08*C309*1.1</f>
        <v>237.83760000000004</v>
      </c>
      <c r="E297" s="217"/>
      <c r="F297" s="13" t="s">
        <v>425</v>
      </c>
      <c r="G297" s="13">
        <f>260*0.3*0.15</f>
        <v>11.7</v>
      </c>
      <c r="H297" s="210"/>
      <c r="AE297" s="210"/>
      <c r="AG297" s="210"/>
    </row>
    <row r="298" spans="1:34" ht="15.75">
      <c r="B298" s="13" t="s">
        <v>436</v>
      </c>
      <c r="C298" s="215" t="s">
        <v>426</v>
      </c>
      <c r="D298" s="223">
        <f>2*4*C311*2.3*1.1</f>
        <v>7.9948000000000006</v>
      </c>
      <c r="E298" s="217"/>
      <c r="F298" s="13" t="s">
        <v>440</v>
      </c>
      <c r="G298" s="13">
        <f>44*0.6*0.6*0.7</f>
        <v>11.087999999999997</v>
      </c>
      <c r="H298" s="210"/>
      <c r="AE298" s="210"/>
      <c r="AG298" s="210"/>
    </row>
    <row r="299" spans="1:34" ht="15.75">
      <c r="B299" s="13" t="s">
        <v>439</v>
      </c>
      <c r="C299" s="215" t="s">
        <v>430</v>
      </c>
      <c r="D299" s="224">
        <f>2*20*0.6*C309*1.1</f>
        <v>4.0655999999999999</v>
      </c>
      <c r="E299" s="217"/>
      <c r="F299" s="13" t="s">
        <v>446</v>
      </c>
      <c r="G299" s="13">
        <f>2.3*0.2*0.15*2</f>
        <v>0.13799999999999998</v>
      </c>
      <c r="H299" s="210"/>
    </row>
    <row r="300" spans="1:34" s="210" customFormat="1" ht="16.5" thickBot="1">
      <c r="B300" s="13" t="s">
        <v>440</v>
      </c>
      <c r="C300" s="215" t="s">
        <v>429</v>
      </c>
      <c r="D300" s="224">
        <f>43*5*0.52*C310*1.1</f>
        <v>30.130099999999999</v>
      </c>
      <c r="E300" s="122"/>
      <c r="F300" s="26" t="s">
        <v>444</v>
      </c>
      <c r="G300" s="26">
        <f>2.4*1.6*0.18</f>
        <v>0.69119999999999993</v>
      </c>
      <c r="AB300"/>
      <c r="AC300"/>
      <c r="AF300" s="213"/>
      <c r="AH300" s="213"/>
    </row>
    <row r="301" spans="1:34" s="210" customFormat="1" ht="16.5" thickBot="1">
      <c r="B301" s="13" t="s">
        <v>440</v>
      </c>
      <c r="C301" s="215" t="s">
        <v>429</v>
      </c>
      <c r="D301" s="224">
        <f>43*5*0.52*C310*1.1</f>
        <v>30.130099999999999</v>
      </c>
      <c r="E301" s="122"/>
      <c r="F301" s="226" t="s">
        <v>152</v>
      </c>
      <c r="G301" s="227">
        <f>SUM(G297:G300)</f>
        <v>23.617199999999997</v>
      </c>
      <c r="AF301" s="213"/>
      <c r="AH301" s="213"/>
    </row>
    <row r="302" spans="1:34" s="210" customFormat="1" ht="15.75">
      <c r="B302" s="13" t="s">
        <v>441</v>
      </c>
      <c r="C302" s="215" t="s">
        <v>429</v>
      </c>
      <c r="D302" s="224">
        <f>44*10*1.98*C310*1.1</f>
        <v>234.78840000000002</v>
      </c>
      <c r="E302" s="122"/>
      <c r="AF302" s="213"/>
      <c r="AH302" s="213"/>
    </row>
    <row r="303" spans="1:34" ht="15.75">
      <c r="B303" s="17" t="s">
        <v>442</v>
      </c>
      <c r="C303" s="215" t="s">
        <v>429</v>
      </c>
      <c r="D303" s="224">
        <f>44*10*0.83*C310*1.1</f>
        <v>98.421399999999991</v>
      </c>
      <c r="E303" s="36"/>
      <c r="F303" s="210"/>
      <c r="G303" s="210"/>
      <c r="H303" s="210"/>
      <c r="AB303" s="210"/>
      <c r="AC303" s="210"/>
    </row>
    <row r="304" spans="1:34" s="210" customFormat="1" ht="15.75">
      <c r="B304" s="13" t="s">
        <v>444</v>
      </c>
      <c r="C304" s="215" t="s">
        <v>429</v>
      </c>
      <c r="D304" s="224">
        <f>16*2.52*C310*1.1</f>
        <v>10.866239999999999</v>
      </c>
      <c r="E304" s="36"/>
      <c r="H304"/>
      <c r="AB304"/>
      <c r="AC304"/>
      <c r="AE304"/>
      <c r="AF304" s="213"/>
      <c r="AG304"/>
      <c r="AH304" s="213"/>
    </row>
    <row r="305" spans="2:34" s="210" customFormat="1" ht="15.75">
      <c r="B305" s="34" t="s">
        <v>444</v>
      </c>
      <c r="C305" s="228" t="s">
        <v>429</v>
      </c>
      <c r="D305" s="229">
        <f>24*1.72*C310*1.1</f>
        <v>11.124960000000002</v>
      </c>
      <c r="E305" s="36"/>
      <c r="F305"/>
      <c r="G305"/>
      <c r="I305" s="417"/>
      <c r="J305" s="417"/>
      <c r="AE305"/>
      <c r="AF305" s="213"/>
      <c r="AG305"/>
      <c r="AH305" s="213"/>
    </row>
    <row r="306" spans="2:34" s="210" customFormat="1">
      <c r="B306" s="602" t="s">
        <v>448</v>
      </c>
      <c r="C306" s="602"/>
      <c r="D306" s="602"/>
      <c r="E306" s="36"/>
      <c r="H306" s="417"/>
      <c r="I306" s="417"/>
      <c r="J306" s="417"/>
      <c r="AE306"/>
      <c r="AF306" s="213"/>
      <c r="AG306"/>
      <c r="AH306" s="213"/>
    </row>
    <row r="307" spans="2:34" ht="15.75" thickBot="1">
      <c r="B307" s="603"/>
      <c r="C307" s="603"/>
      <c r="D307" s="603"/>
      <c r="F307" s="210"/>
      <c r="G307" s="210"/>
      <c r="H307" s="210"/>
      <c r="I307" s="210"/>
      <c r="J307" s="210"/>
      <c r="AB307" s="210"/>
      <c r="AC307" s="210"/>
    </row>
    <row r="308" spans="2:34" ht="21" customHeight="1" thickBot="1">
      <c r="B308" s="220" t="s">
        <v>424</v>
      </c>
      <c r="C308" s="221" t="s">
        <v>437</v>
      </c>
      <c r="D308" s="222" t="s">
        <v>443</v>
      </c>
      <c r="F308" s="278" t="s">
        <v>690</v>
      </c>
      <c r="G308" s="278" t="s">
        <v>691</v>
      </c>
      <c r="H308" s="278" t="s">
        <v>692</v>
      </c>
      <c r="I308" s="278" t="s">
        <v>693</v>
      </c>
      <c r="J308" s="278" t="s">
        <v>445</v>
      </c>
    </row>
    <row r="309" spans="2:34" ht="15.75">
      <c r="B309" s="219" t="s">
        <v>430</v>
      </c>
      <c r="C309" s="211">
        <v>0.154</v>
      </c>
      <c r="D309" s="406">
        <f>D297+D299</f>
        <v>241.90320000000003</v>
      </c>
      <c r="F309" s="277"/>
      <c r="G309" s="277"/>
      <c r="H309" s="277"/>
      <c r="I309" s="277"/>
      <c r="J309" s="277"/>
    </row>
    <row r="310" spans="2:34" ht="15.75">
      <c r="B310" s="216" t="s">
        <v>429</v>
      </c>
      <c r="C310" s="13">
        <v>0.245</v>
      </c>
      <c r="D310" s="14">
        <f>SUM(D300:D305)</f>
        <v>415.46120000000002</v>
      </c>
      <c r="F310" s="277" t="s">
        <v>694</v>
      </c>
      <c r="G310" s="233">
        <v>128.1</v>
      </c>
      <c r="H310" s="233">
        <v>461.7</v>
      </c>
      <c r="I310" s="233">
        <v>68.760000000000005</v>
      </c>
      <c r="J310" s="233">
        <v>13.12</v>
      </c>
    </row>
    <row r="311" spans="2:34" ht="15.75">
      <c r="B311" s="216" t="s">
        <v>426</v>
      </c>
      <c r="C311" s="13">
        <v>0.39500000000000002</v>
      </c>
      <c r="D311" s="13">
        <f>D295+D298</f>
        <v>233.93480000000002</v>
      </c>
      <c r="F311" s="277" t="s">
        <v>695</v>
      </c>
      <c r="G311" s="233"/>
      <c r="H311" s="233">
        <v>111.5</v>
      </c>
      <c r="I311" s="233">
        <v>10.92</v>
      </c>
      <c r="J311" s="233">
        <v>0.56999999999999995</v>
      </c>
    </row>
    <row r="312" spans="2:34" ht="15.75">
      <c r="B312" s="216" t="s">
        <v>428</v>
      </c>
      <c r="C312" s="13">
        <v>0.61699999999999999</v>
      </c>
      <c r="D312" s="13">
        <f>D296</f>
        <v>529.38600000000008</v>
      </c>
      <c r="F312" s="277" t="s">
        <v>696</v>
      </c>
      <c r="G312" s="233"/>
      <c r="H312" s="233">
        <v>2362.6</v>
      </c>
      <c r="I312" s="233">
        <v>252.71</v>
      </c>
      <c r="J312" s="233">
        <v>19.899999999999999</v>
      </c>
    </row>
    <row r="313" spans="2:34">
      <c r="D313" s="443">
        <f>SUM(D309:D312)</f>
        <v>1420.6852000000001</v>
      </c>
      <c r="F313" s="277" t="s">
        <v>697</v>
      </c>
      <c r="G313" s="233"/>
      <c r="H313" s="233">
        <v>3738.6</v>
      </c>
      <c r="I313" s="233">
        <v>391.03</v>
      </c>
      <c r="J313" s="233">
        <v>67.95</v>
      </c>
    </row>
    <row r="314" spans="2:34">
      <c r="F314" s="277" t="s">
        <v>698</v>
      </c>
      <c r="G314" s="233"/>
      <c r="H314" s="233">
        <v>374.3</v>
      </c>
      <c r="I314" s="233">
        <v>63.3</v>
      </c>
      <c r="J314" s="233">
        <v>3.34</v>
      </c>
    </row>
    <row r="315" spans="2:34">
      <c r="F315" s="277" t="s">
        <v>699</v>
      </c>
      <c r="G315" s="233"/>
      <c r="H315" s="233">
        <v>1082.9000000000001</v>
      </c>
      <c r="I315" s="233">
        <v>144.5</v>
      </c>
      <c r="J315" s="233">
        <v>10.93</v>
      </c>
    </row>
    <row r="316" spans="2:34" ht="15.75">
      <c r="C316" s="216" t="s">
        <v>1032</v>
      </c>
      <c r="D316" s="224">
        <f>D309+G317</f>
        <v>370.00319999999999</v>
      </c>
      <c r="F316" s="277" t="s">
        <v>700</v>
      </c>
      <c r="G316" s="233"/>
      <c r="H316" s="233">
        <v>1505.2</v>
      </c>
      <c r="I316" s="233">
        <v>103.88</v>
      </c>
      <c r="J316" s="233">
        <v>22</v>
      </c>
    </row>
    <row r="317" spans="2:34" ht="15.75">
      <c r="C317" s="407" t="s">
        <v>1031</v>
      </c>
      <c r="D317" s="14">
        <f>H317+D310+D311+D312</f>
        <v>10815.582000000002</v>
      </c>
      <c r="F317" s="279" t="s">
        <v>701</v>
      </c>
      <c r="G317" s="280">
        <f>SUM(G310:G316)</f>
        <v>128.1</v>
      </c>
      <c r="H317" s="280">
        <f>SUM(H310:H316)</f>
        <v>9636.8000000000011</v>
      </c>
      <c r="I317" s="280">
        <f>SUM(I310:I316)</f>
        <v>1035.0999999999999</v>
      </c>
      <c r="J317" s="280">
        <f>SUM(J310:J316)</f>
        <v>137.81</v>
      </c>
    </row>
  </sheetData>
  <mergeCells count="108">
    <mergeCell ref="AF70:AF71"/>
    <mergeCell ref="AH70:AH71"/>
    <mergeCell ref="AE69:AH69"/>
    <mergeCell ref="Z63:Z101"/>
    <mergeCell ref="AC64:AC65"/>
    <mergeCell ref="AB64:AB65"/>
    <mergeCell ref="AE63:AJ63"/>
    <mergeCell ref="AB62:AC63"/>
    <mergeCell ref="U63:X64"/>
    <mergeCell ref="AE86:AH86"/>
    <mergeCell ref="AE87:AE88"/>
    <mergeCell ref="AF87:AF88"/>
    <mergeCell ref="AG87:AG88"/>
    <mergeCell ref="AJ64:AJ65"/>
    <mergeCell ref="AE70:AE71"/>
    <mergeCell ref="AG70:AG71"/>
    <mergeCell ref="AF64:AF65"/>
    <mergeCell ref="AH64:AH65"/>
    <mergeCell ref="AE64:AE65"/>
    <mergeCell ref="AG64:AG65"/>
    <mergeCell ref="AI64:AI65"/>
    <mergeCell ref="AH87:AH88"/>
    <mergeCell ref="AE95:AH95"/>
    <mergeCell ref="AE96:AE97"/>
    <mergeCell ref="AF96:AF97"/>
    <mergeCell ref="AG96:AG97"/>
    <mergeCell ref="B103:D104"/>
    <mergeCell ref="J181:K181"/>
    <mergeCell ref="J182:K182"/>
    <mergeCell ref="B180:D180"/>
    <mergeCell ref="B158:C158"/>
    <mergeCell ref="E158:G158"/>
    <mergeCell ref="I156:L156"/>
    <mergeCell ref="J180:K180"/>
    <mergeCell ref="Q109:Q110"/>
    <mergeCell ref="R109:R110"/>
    <mergeCell ref="O108:R108"/>
    <mergeCell ref="U104:W104"/>
    <mergeCell ref="AH96:AH97"/>
    <mergeCell ref="B2:U2"/>
    <mergeCell ref="E109:E110"/>
    <mergeCell ref="B109:B110"/>
    <mergeCell ref="C109:C110"/>
    <mergeCell ref="D109:D110"/>
    <mergeCell ref="B108:E108"/>
    <mergeCell ref="B63:I63"/>
    <mergeCell ref="M64:M65"/>
    <mergeCell ref="O64:O65"/>
    <mergeCell ref="L63:O63"/>
    <mergeCell ref="I107:J107"/>
    <mergeCell ref="I108:M108"/>
    <mergeCell ref="F64:F65"/>
    <mergeCell ref="G6:G7"/>
    <mergeCell ref="P61:Y61"/>
    <mergeCell ref="B6:B7"/>
    <mergeCell ref="B61:O61"/>
    <mergeCell ref="N64:N65"/>
    <mergeCell ref="H64:H65"/>
    <mergeCell ref="I64:I65"/>
    <mergeCell ref="L64:L65"/>
    <mergeCell ref="O109:O110"/>
    <mergeCell ref="P109:P110"/>
    <mergeCell ref="P4:S4"/>
    <mergeCell ref="B306:D307"/>
    <mergeCell ref="B293:D293"/>
    <mergeCell ref="F295:G295"/>
    <mergeCell ref="B59:E59"/>
    <mergeCell ref="B58:E58"/>
    <mergeCell ref="G64:G65"/>
    <mergeCell ref="B265:D267"/>
    <mergeCell ref="E225:G225"/>
    <mergeCell ref="E227:E228"/>
    <mergeCell ref="B233:L233"/>
    <mergeCell ref="B236:B237"/>
    <mergeCell ref="C236:C237"/>
    <mergeCell ref="D236:D237"/>
    <mergeCell ref="E236:E237"/>
    <mergeCell ref="F236:F237"/>
    <mergeCell ref="G236:G237"/>
    <mergeCell ref="I238:I239"/>
    <mergeCell ref="H238:H239"/>
    <mergeCell ref="G185:J185"/>
    <mergeCell ref="D64:D65"/>
    <mergeCell ref="C64:C65"/>
    <mergeCell ref="B64:B65"/>
    <mergeCell ref="E64:E65"/>
    <mergeCell ref="L87:M87"/>
    <mergeCell ref="F272:H272"/>
    <mergeCell ref="N6:N7"/>
    <mergeCell ref="I6:I7"/>
    <mergeCell ref="J6:J7"/>
    <mergeCell ref="K6:K7"/>
    <mergeCell ref="L6:L7"/>
    <mergeCell ref="Q63:T64"/>
    <mergeCell ref="C6:C7"/>
    <mergeCell ref="D6:D7"/>
    <mergeCell ref="E6:E7"/>
    <mergeCell ref="F6:F7"/>
    <mergeCell ref="M6:M7"/>
    <mergeCell ref="D28:G28"/>
    <mergeCell ref="G190:G191"/>
    <mergeCell ref="H190:H191"/>
    <mergeCell ref="I190:I191"/>
    <mergeCell ref="J190:J191"/>
    <mergeCell ref="I236:L237"/>
    <mergeCell ref="B235:G235"/>
    <mergeCell ref="K272:K273"/>
    <mergeCell ref="I272:J272"/>
  </mergeCells>
  <pageMargins left="0.511811024" right="0.511811024" top="0.78740157499999996" bottom="0.78740157499999996" header="0.31496062000000002" footer="0.31496062000000002"/>
  <pageSetup paperSize="9" scale="79" fitToWidth="0" fitToHeight="0" orientation="portrait" r:id="rId1"/>
  <legacyDrawing r:id="rId2"/>
</worksheet>
</file>

<file path=xl/worksheets/sheet3.xml><?xml version="1.0" encoding="utf-8"?>
<worksheet xmlns="http://schemas.openxmlformats.org/spreadsheetml/2006/main" xmlns:r="http://schemas.openxmlformats.org/officeDocument/2006/relationships">
  <dimension ref="A1:G79"/>
  <sheetViews>
    <sheetView topLeftCell="A67" workbookViewId="0">
      <selection activeCell="J77" sqref="J77"/>
    </sheetView>
  </sheetViews>
  <sheetFormatPr defaultRowHeight="15"/>
  <cols>
    <col min="1" max="1" width="16.42578125" style="303" customWidth="1"/>
    <col min="2" max="2" width="15.140625" style="303" customWidth="1"/>
    <col min="3" max="3" width="47.28515625" style="274" customWidth="1"/>
    <col min="4" max="4" width="7.28515625" style="273" customWidth="1"/>
    <col min="5" max="5" width="12.140625" style="309" customWidth="1"/>
    <col min="6" max="6" width="9.140625" style="303"/>
    <col min="7" max="7" width="12.7109375" style="303" customWidth="1"/>
  </cols>
  <sheetData>
    <row r="1" spans="1:7" ht="24">
      <c r="A1" s="263" t="s">
        <v>666</v>
      </c>
      <c r="B1" s="263">
        <v>88503</v>
      </c>
      <c r="C1" s="268" t="s">
        <v>638</v>
      </c>
      <c r="D1" s="263" t="s">
        <v>639</v>
      </c>
      <c r="E1" s="271" t="s">
        <v>174</v>
      </c>
      <c r="F1" s="300" t="s">
        <v>665</v>
      </c>
      <c r="G1" s="300" t="s">
        <v>152</v>
      </c>
    </row>
    <row r="2" spans="1:7" ht="36">
      <c r="A2" s="263" t="s">
        <v>640</v>
      </c>
      <c r="B2" s="266">
        <v>67</v>
      </c>
      <c r="C2" s="264" t="s">
        <v>641</v>
      </c>
      <c r="D2" s="263" t="s">
        <v>639</v>
      </c>
      <c r="E2" s="265">
        <v>1</v>
      </c>
      <c r="F2" s="300">
        <v>5.97</v>
      </c>
      <c r="G2" s="300">
        <f>F2*E2</f>
        <v>5.97</v>
      </c>
    </row>
    <row r="3" spans="1:7" ht="24">
      <c r="A3" s="263" t="s">
        <v>640</v>
      </c>
      <c r="B3" s="263">
        <v>66</v>
      </c>
      <c r="C3" s="264" t="s">
        <v>663</v>
      </c>
      <c r="D3" s="263" t="s">
        <v>639</v>
      </c>
      <c r="E3" s="265">
        <v>2</v>
      </c>
      <c r="F3" s="300">
        <v>17.14</v>
      </c>
      <c r="G3" s="300">
        <f t="shared" ref="G3:G15" si="0">F3*E3</f>
        <v>34.28</v>
      </c>
    </row>
    <row r="4" spans="1:7" ht="36">
      <c r="A4" s="263" t="s">
        <v>640</v>
      </c>
      <c r="B4" s="263" t="s">
        <v>642</v>
      </c>
      <c r="C4" s="264" t="s">
        <v>643</v>
      </c>
      <c r="D4" s="263" t="s">
        <v>639</v>
      </c>
      <c r="E4" s="265">
        <v>1</v>
      </c>
      <c r="F4" s="300">
        <v>11.27</v>
      </c>
      <c r="G4" s="300">
        <f t="shared" si="0"/>
        <v>11.27</v>
      </c>
    </row>
    <row r="5" spans="1:7" ht="24">
      <c r="A5" s="263" t="s">
        <v>640</v>
      </c>
      <c r="B5" s="263" t="s">
        <v>644</v>
      </c>
      <c r="C5" s="264" t="s">
        <v>645</v>
      </c>
      <c r="D5" s="263" t="s">
        <v>639</v>
      </c>
      <c r="E5" s="265">
        <v>0.4</v>
      </c>
      <c r="F5" s="300">
        <v>4.93</v>
      </c>
      <c r="G5" s="300">
        <f t="shared" si="0"/>
        <v>1.972</v>
      </c>
    </row>
    <row r="6" spans="1:7" ht="24">
      <c r="A6" s="263" t="s">
        <v>640</v>
      </c>
      <c r="B6" s="263" t="s">
        <v>646</v>
      </c>
      <c r="C6" s="264" t="s">
        <v>647</v>
      </c>
      <c r="D6" s="263" t="s">
        <v>639</v>
      </c>
      <c r="E6" s="265">
        <v>0.3</v>
      </c>
      <c r="F6" s="300">
        <v>1.8</v>
      </c>
      <c r="G6" s="300">
        <f t="shared" si="0"/>
        <v>0.54</v>
      </c>
    </row>
    <row r="7" spans="1:7" ht="24">
      <c r="A7" s="263" t="s">
        <v>640</v>
      </c>
      <c r="B7" s="263">
        <v>3540</v>
      </c>
      <c r="C7" s="264" t="s">
        <v>664</v>
      </c>
      <c r="D7" s="263" t="s">
        <v>639</v>
      </c>
      <c r="E7" s="265">
        <v>1</v>
      </c>
      <c r="F7" s="300">
        <v>3.3</v>
      </c>
      <c r="G7" s="300">
        <f t="shared" si="0"/>
        <v>3.3</v>
      </c>
    </row>
    <row r="8" spans="1:7" ht="24">
      <c r="A8" s="263" t="s">
        <v>640</v>
      </c>
      <c r="B8" s="263">
        <v>7142</v>
      </c>
      <c r="C8" s="264" t="s">
        <v>660</v>
      </c>
      <c r="D8" s="263" t="s">
        <v>639</v>
      </c>
      <c r="E8" s="265">
        <v>1</v>
      </c>
      <c r="F8" s="300">
        <v>5.7</v>
      </c>
      <c r="G8" s="300">
        <f t="shared" si="0"/>
        <v>5.7</v>
      </c>
    </row>
    <row r="9" spans="1:7" ht="24">
      <c r="A9" s="263" t="s">
        <v>640</v>
      </c>
      <c r="B9" s="263" t="s">
        <v>648</v>
      </c>
      <c r="C9" s="264" t="s">
        <v>649</v>
      </c>
      <c r="D9" s="263" t="s">
        <v>25</v>
      </c>
      <c r="E9" s="265">
        <v>1.5</v>
      </c>
      <c r="F9" s="300">
        <v>2.86</v>
      </c>
      <c r="G9" s="300">
        <f t="shared" si="0"/>
        <v>4.29</v>
      </c>
    </row>
    <row r="10" spans="1:7" ht="24">
      <c r="A10" s="263" t="s">
        <v>640</v>
      </c>
      <c r="B10" s="263">
        <v>9875</v>
      </c>
      <c r="C10" s="264" t="s">
        <v>659</v>
      </c>
      <c r="D10" s="263" t="s">
        <v>25</v>
      </c>
      <c r="E10" s="265">
        <v>2</v>
      </c>
      <c r="F10" s="300">
        <v>11.07</v>
      </c>
      <c r="G10" s="300">
        <f t="shared" si="0"/>
        <v>22.14</v>
      </c>
    </row>
    <row r="11" spans="1:7" ht="36">
      <c r="A11" s="263" t="s">
        <v>640</v>
      </c>
      <c r="B11" s="263">
        <v>11677</v>
      </c>
      <c r="C11" s="264" t="s">
        <v>650</v>
      </c>
      <c r="D11" s="263" t="s">
        <v>639</v>
      </c>
      <c r="E11" s="265">
        <v>1</v>
      </c>
      <c r="F11" s="300">
        <v>20.28</v>
      </c>
      <c r="G11" s="300">
        <f t="shared" si="0"/>
        <v>20.28</v>
      </c>
    </row>
    <row r="12" spans="1:7" ht="36">
      <c r="A12" s="263" t="s">
        <v>640</v>
      </c>
      <c r="B12" s="263" t="s">
        <v>651</v>
      </c>
      <c r="C12" s="264" t="s">
        <v>652</v>
      </c>
      <c r="D12" s="263" t="s">
        <v>639</v>
      </c>
      <c r="E12" s="265">
        <v>1</v>
      </c>
      <c r="F12" s="300">
        <v>13.11</v>
      </c>
      <c r="G12" s="300">
        <f t="shared" si="0"/>
        <v>13.11</v>
      </c>
    </row>
    <row r="13" spans="1:7" ht="24">
      <c r="A13" s="267" t="s">
        <v>432</v>
      </c>
      <c r="B13" s="270" t="s">
        <v>662</v>
      </c>
      <c r="C13" s="268" t="s">
        <v>661</v>
      </c>
      <c r="D13" s="267" t="s">
        <v>639</v>
      </c>
      <c r="E13" s="265">
        <v>1</v>
      </c>
      <c r="F13" s="300">
        <v>929.9</v>
      </c>
      <c r="G13" s="300">
        <f t="shared" si="0"/>
        <v>929.9</v>
      </c>
    </row>
    <row r="14" spans="1:7" ht="24">
      <c r="A14" s="263" t="s">
        <v>653</v>
      </c>
      <c r="B14" s="263" t="s">
        <v>654</v>
      </c>
      <c r="C14" s="264" t="s">
        <v>655</v>
      </c>
      <c r="D14" s="263" t="s">
        <v>656</v>
      </c>
      <c r="E14" s="265">
        <v>7.7</v>
      </c>
      <c r="F14" s="300">
        <v>16.89</v>
      </c>
      <c r="G14" s="300">
        <f t="shared" si="0"/>
        <v>130.053</v>
      </c>
    </row>
    <row r="15" spans="1:7" ht="24">
      <c r="A15" s="263" t="s">
        <v>653</v>
      </c>
      <c r="B15" s="263" t="s">
        <v>657</v>
      </c>
      <c r="C15" s="264" t="s">
        <v>658</v>
      </c>
      <c r="D15" s="263" t="s">
        <v>656</v>
      </c>
      <c r="E15" s="265">
        <v>7.7</v>
      </c>
      <c r="F15" s="300">
        <v>21.67</v>
      </c>
      <c r="G15" s="300">
        <f t="shared" si="0"/>
        <v>166.85900000000001</v>
      </c>
    </row>
    <row r="16" spans="1:7">
      <c r="G16" s="300">
        <f>SUM(G2:G15)</f>
        <v>1349.6639999999998</v>
      </c>
    </row>
    <row r="19" spans="1:7" ht="24">
      <c r="A19" s="263" t="s">
        <v>676</v>
      </c>
      <c r="B19" s="263" t="s">
        <v>677</v>
      </c>
      <c r="C19" s="264" t="s">
        <v>678</v>
      </c>
      <c r="D19" s="263" t="s">
        <v>13</v>
      </c>
      <c r="E19" s="265" t="s">
        <v>174</v>
      </c>
    </row>
    <row r="20" spans="1:7" ht="48">
      <c r="A20" s="263" t="s">
        <v>653</v>
      </c>
      <c r="B20" s="263" t="s">
        <v>679</v>
      </c>
      <c r="C20" s="264" t="s">
        <v>680</v>
      </c>
      <c r="D20" s="263" t="s">
        <v>681</v>
      </c>
      <c r="E20" s="265" t="s">
        <v>682</v>
      </c>
      <c r="F20" s="303">
        <v>165.91</v>
      </c>
    </row>
    <row r="22" spans="1:7" ht="24">
      <c r="A22" s="263" t="s">
        <v>676</v>
      </c>
      <c r="B22" s="263" t="s">
        <v>683</v>
      </c>
      <c r="C22" s="264" t="s">
        <v>688</v>
      </c>
      <c r="D22" s="263" t="s">
        <v>13</v>
      </c>
      <c r="E22" s="271" t="s">
        <v>174</v>
      </c>
    </row>
    <row r="23" spans="1:7" ht="48">
      <c r="A23" s="263" t="s">
        <v>653</v>
      </c>
      <c r="B23" s="263" t="s">
        <v>684</v>
      </c>
      <c r="C23" s="264" t="s">
        <v>685</v>
      </c>
      <c r="D23" s="263" t="s">
        <v>681</v>
      </c>
      <c r="E23" s="275" t="s">
        <v>682</v>
      </c>
      <c r="F23" s="276">
        <v>163.4</v>
      </c>
      <c r="G23" s="300">
        <f>F23*E23</f>
        <v>0.49020000000000002</v>
      </c>
    </row>
    <row r="24" spans="1:7" ht="60">
      <c r="A24" s="263" t="s">
        <v>653</v>
      </c>
      <c r="B24" s="263" t="s">
        <v>686</v>
      </c>
      <c r="C24" s="264" t="s">
        <v>687</v>
      </c>
      <c r="D24" s="263" t="s">
        <v>681</v>
      </c>
      <c r="E24" s="275" t="s">
        <v>682</v>
      </c>
      <c r="F24" s="300">
        <v>129.1</v>
      </c>
      <c r="G24" s="300">
        <f>F24*E24</f>
        <v>0.38729999999999998</v>
      </c>
    </row>
    <row r="25" spans="1:7">
      <c r="G25" s="300">
        <f>SUM(G23:G24)</f>
        <v>0.87749999999999995</v>
      </c>
    </row>
    <row r="28" spans="1:7" ht="84">
      <c r="A28" s="263" t="s">
        <v>702</v>
      </c>
      <c r="B28" s="263" t="s">
        <v>703</v>
      </c>
      <c r="C28" s="264" t="s">
        <v>704</v>
      </c>
      <c r="D28" s="263" t="s">
        <v>13</v>
      </c>
      <c r="E28" s="265" t="s">
        <v>174</v>
      </c>
    </row>
    <row r="29" spans="1:7" ht="48">
      <c r="A29" s="263" t="s">
        <v>640</v>
      </c>
      <c r="B29" s="263" t="s">
        <v>705</v>
      </c>
      <c r="C29" s="264" t="s">
        <v>706</v>
      </c>
      <c r="D29" s="263" t="s">
        <v>25</v>
      </c>
      <c r="E29" s="265" t="s">
        <v>707</v>
      </c>
    </row>
    <row r="30" spans="1:7" ht="24">
      <c r="A30" s="263" t="s">
        <v>640</v>
      </c>
      <c r="B30" s="263" t="s">
        <v>708</v>
      </c>
      <c r="C30" s="264" t="s">
        <v>709</v>
      </c>
      <c r="D30" s="263" t="s">
        <v>639</v>
      </c>
      <c r="E30" s="265" t="s">
        <v>710</v>
      </c>
    </row>
    <row r="31" spans="1:7" ht="24">
      <c r="A31" s="263" t="s">
        <v>640</v>
      </c>
      <c r="B31" s="263" t="s">
        <v>711</v>
      </c>
      <c r="C31" s="264" t="s">
        <v>712</v>
      </c>
      <c r="D31" s="263" t="s">
        <v>639</v>
      </c>
      <c r="E31" s="265" t="s">
        <v>713</v>
      </c>
    </row>
    <row r="32" spans="1:7" ht="24">
      <c r="A32" s="263" t="s">
        <v>640</v>
      </c>
      <c r="B32" s="263" t="s">
        <v>714</v>
      </c>
      <c r="C32" s="264" t="s">
        <v>715</v>
      </c>
      <c r="D32" s="263" t="s">
        <v>639</v>
      </c>
      <c r="E32" s="265" t="s">
        <v>716</v>
      </c>
    </row>
    <row r="33" spans="1:5" ht="24">
      <c r="A33" s="263" t="s">
        <v>640</v>
      </c>
      <c r="B33" s="263" t="s">
        <v>717</v>
      </c>
      <c r="C33" s="264" t="s">
        <v>718</v>
      </c>
      <c r="D33" s="263" t="s">
        <v>639</v>
      </c>
      <c r="E33" s="265" t="s">
        <v>719</v>
      </c>
    </row>
    <row r="34" spans="1:5" ht="24">
      <c r="A34" s="263" t="s">
        <v>640</v>
      </c>
      <c r="B34" s="263" t="s">
        <v>720</v>
      </c>
      <c r="C34" s="264" t="s">
        <v>721</v>
      </c>
      <c r="D34" s="263" t="s">
        <v>639</v>
      </c>
      <c r="E34" s="265" t="s">
        <v>722</v>
      </c>
    </row>
    <row r="35" spans="1:5" ht="48">
      <c r="A35" s="263" t="s">
        <v>653</v>
      </c>
      <c r="B35" s="263" t="s">
        <v>723</v>
      </c>
      <c r="C35" s="264" t="s">
        <v>724</v>
      </c>
      <c r="D35" s="263" t="s">
        <v>20</v>
      </c>
      <c r="E35" s="265" t="s">
        <v>725</v>
      </c>
    </row>
    <row r="36" spans="1:5">
      <c r="A36" s="263" t="s">
        <v>653</v>
      </c>
      <c r="B36" s="263" t="s">
        <v>726</v>
      </c>
      <c r="C36" s="264" t="s">
        <v>727</v>
      </c>
      <c r="D36" s="263" t="s">
        <v>656</v>
      </c>
      <c r="E36" s="265" t="s">
        <v>728</v>
      </c>
    </row>
    <row r="37" spans="1:5">
      <c r="A37" s="263" t="s">
        <v>653</v>
      </c>
      <c r="B37" s="263" t="s">
        <v>729</v>
      </c>
      <c r="C37" s="264" t="s">
        <v>730</v>
      </c>
      <c r="D37" s="263" t="s">
        <v>656</v>
      </c>
      <c r="E37" s="265" t="s">
        <v>731</v>
      </c>
    </row>
    <row r="38" spans="1:5" ht="72">
      <c r="A38" s="263" t="s">
        <v>702</v>
      </c>
      <c r="B38" s="263" t="s">
        <v>732</v>
      </c>
      <c r="C38" s="264" t="s">
        <v>733</v>
      </c>
      <c r="D38" s="263" t="s">
        <v>13</v>
      </c>
      <c r="E38" s="265" t="s">
        <v>174</v>
      </c>
    </row>
    <row r="39" spans="1:5" ht="48">
      <c r="A39" s="263" t="s">
        <v>640</v>
      </c>
      <c r="B39" s="263" t="s">
        <v>705</v>
      </c>
      <c r="C39" s="264" t="s">
        <v>706</v>
      </c>
      <c r="D39" s="263" t="s">
        <v>25</v>
      </c>
      <c r="E39" s="265" t="s">
        <v>734</v>
      </c>
    </row>
    <row r="40" spans="1:5" ht="24">
      <c r="A40" s="263" t="s">
        <v>640</v>
      </c>
      <c r="B40" s="263" t="s">
        <v>735</v>
      </c>
      <c r="C40" s="264" t="s">
        <v>736</v>
      </c>
      <c r="D40" s="263" t="s">
        <v>639</v>
      </c>
      <c r="E40" s="265" t="s">
        <v>737</v>
      </c>
    </row>
    <row r="41" spans="1:5" ht="24">
      <c r="A41" s="263" t="s">
        <v>640</v>
      </c>
      <c r="B41" s="263" t="s">
        <v>738</v>
      </c>
      <c r="C41" s="264" t="s">
        <v>739</v>
      </c>
      <c r="D41" s="263" t="s">
        <v>639</v>
      </c>
      <c r="E41" s="265" t="s">
        <v>740</v>
      </c>
    </row>
    <row r="42" spans="1:5" ht="24">
      <c r="A42" s="263" t="s">
        <v>640</v>
      </c>
      <c r="B42" s="263" t="s">
        <v>741</v>
      </c>
      <c r="C42" s="264" t="s">
        <v>742</v>
      </c>
      <c r="D42" s="263" t="s">
        <v>639</v>
      </c>
      <c r="E42" s="265" t="s">
        <v>743</v>
      </c>
    </row>
    <row r="43" spans="1:5" ht="60">
      <c r="A43" s="263" t="s">
        <v>653</v>
      </c>
      <c r="B43" s="263" t="s">
        <v>744</v>
      </c>
      <c r="C43" s="264" t="s">
        <v>745</v>
      </c>
      <c r="D43" s="263" t="s">
        <v>20</v>
      </c>
      <c r="E43" s="265" t="s">
        <v>746</v>
      </c>
    </row>
    <row r="44" spans="1:5">
      <c r="A44" s="263" t="s">
        <v>653</v>
      </c>
      <c r="B44" s="263" t="s">
        <v>726</v>
      </c>
      <c r="C44" s="264" t="s">
        <v>727</v>
      </c>
      <c r="D44" s="263" t="s">
        <v>656</v>
      </c>
      <c r="E44" s="265" t="s">
        <v>747</v>
      </c>
    </row>
    <row r="45" spans="1:5">
      <c r="A45" s="263" t="s">
        <v>653</v>
      </c>
      <c r="B45" s="263" t="s">
        <v>729</v>
      </c>
      <c r="C45" s="264" t="s">
        <v>730</v>
      </c>
      <c r="D45" s="263" t="s">
        <v>656</v>
      </c>
      <c r="E45" s="265" t="s">
        <v>748</v>
      </c>
    </row>
    <row r="50" spans="1:7" ht="24">
      <c r="A50" s="306" t="s">
        <v>772</v>
      </c>
      <c r="B50" s="306" t="s">
        <v>791</v>
      </c>
      <c r="C50" s="307" t="s">
        <v>790</v>
      </c>
      <c r="D50" s="306" t="s">
        <v>639</v>
      </c>
      <c r="E50" s="271" t="s">
        <v>174</v>
      </c>
    </row>
    <row r="51" spans="1:7" ht="24">
      <c r="A51" s="312" t="s">
        <v>432</v>
      </c>
      <c r="B51" s="312"/>
      <c r="C51" s="313" t="s">
        <v>780</v>
      </c>
      <c r="D51" s="312" t="s">
        <v>639</v>
      </c>
      <c r="E51" s="314">
        <v>1</v>
      </c>
      <c r="F51" s="300">
        <v>460</v>
      </c>
      <c r="G51" s="300">
        <f>E51*F51</f>
        <v>460</v>
      </c>
    </row>
    <row r="52" spans="1:7">
      <c r="A52" s="263" t="s">
        <v>640</v>
      </c>
      <c r="B52" s="263" t="s">
        <v>773</v>
      </c>
      <c r="C52" s="264" t="s">
        <v>774</v>
      </c>
      <c r="D52" s="310" t="s">
        <v>28</v>
      </c>
      <c r="E52" s="265" t="s">
        <v>775</v>
      </c>
      <c r="F52" s="300">
        <v>32.56</v>
      </c>
      <c r="G52" s="276">
        <f t="shared" ref="G52:G58" si="1">E52*F52</f>
        <v>9.683344</v>
      </c>
    </row>
    <row r="53" spans="1:7" ht="24">
      <c r="A53" s="263" t="s">
        <v>653</v>
      </c>
      <c r="B53" s="263" t="s">
        <v>776</v>
      </c>
      <c r="C53" s="264" t="s">
        <v>777</v>
      </c>
      <c r="D53" s="310" t="s">
        <v>656</v>
      </c>
      <c r="E53" s="265" t="s">
        <v>778</v>
      </c>
      <c r="F53" s="300">
        <v>20.52</v>
      </c>
      <c r="G53" s="276">
        <f t="shared" si="1"/>
        <v>9.8495999999999988</v>
      </c>
    </row>
    <row r="54" spans="1:7">
      <c r="A54" s="263" t="s">
        <v>653</v>
      </c>
      <c r="B54" s="263" t="s">
        <v>729</v>
      </c>
      <c r="C54" s="264" t="s">
        <v>730</v>
      </c>
      <c r="D54" s="310" t="s">
        <v>656</v>
      </c>
      <c r="E54" s="265" t="s">
        <v>779</v>
      </c>
      <c r="F54" s="300">
        <v>16.21</v>
      </c>
      <c r="G54" s="276">
        <f t="shared" si="1"/>
        <v>2.4315000000000002</v>
      </c>
    </row>
    <row r="55" spans="1:7">
      <c r="A55" s="300" t="s">
        <v>788</v>
      </c>
      <c r="B55" s="300" t="s">
        <v>781</v>
      </c>
      <c r="C55" s="308" t="s">
        <v>782</v>
      </c>
      <c r="D55" s="311" t="s">
        <v>639</v>
      </c>
      <c r="E55" s="275">
        <v>1</v>
      </c>
      <c r="F55" s="300">
        <v>121.37</v>
      </c>
      <c r="G55" s="300">
        <f t="shared" si="1"/>
        <v>121.37</v>
      </c>
    </row>
    <row r="56" spans="1:7" ht="30">
      <c r="A56" s="300" t="s">
        <v>788</v>
      </c>
      <c r="B56" s="300" t="s">
        <v>783</v>
      </c>
      <c r="C56" s="308" t="s">
        <v>784</v>
      </c>
      <c r="D56" s="311" t="s">
        <v>639</v>
      </c>
      <c r="E56" s="275">
        <v>1</v>
      </c>
      <c r="F56" s="300">
        <v>48.55</v>
      </c>
      <c r="G56" s="300">
        <f t="shared" si="1"/>
        <v>48.55</v>
      </c>
    </row>
    <row r="57" spans="1:7">
      <c r="A57" s="300" t="s">
        <v>788</v>
      </c>
      <c r="B57" s="300" t="s">
        <v>785</v>
      </c>
      <c r="C57" s="308" t="s">
        <v>789</v>
      </c>
      <c r="D57" s="311" t="s">
        <v>656</v>
      </c>
      <c r="E57" s="275">
        <v>1</v>
      </c>
      <c r="F57" s="191">
        <v>11.77</v>
      </c>
      <c r="G57" s="300">
        <f t="shared" si="1"/>
        <v>11.77</v>
      </c>
    </row>
    <row r="58" spans="1:7">
      <c r="A58" s="300" t="s">
        <v>788</v>
      </c>
      <c r="B58" s="300" t="s">
        <v>786</v>
      </c>
      <c r="C58" s="308" t="s">
        <v>787</v>
      </c>
      <c r="D58" s="311" t="s">
        <v>656</v>
      </c>
      <c r="E58" s="275">
        <v>1</v>
      </c>
      <c r="F58" s="191">
        <v>15.14</v>
      </c>
      <c r="G58" s="300">
        <f t="shared" si="1"/>
        <v>15.14</v>
      </c>
    </row>
    <row r="59" spans="1:7">
      <c r="D59" s="304"/>
      <c r="G59" s="276">
        <f>SUM(G51:G58)</f>
        <v>678.794444</v>
      </c>
    </row>
    <row r="61" spans="1:7" ht="24">
      <c r="A61" s="306" t="s">
        <v>772</v>
      </c>
      <c r="B61" s="306" t="s">
        <v>792</v>
      </c>
      <c r="C61" s="307" t="s">
        <v>790</v>
      </c>
      <c r="D61" s="306" t="s">
        <v>639</v>
      </c>
      <c r="E61" s="271" t="s">
        <v>174</v>
      </c>
    </row>
    <row r="62" spans="1:7" ht="24">
      <c r="A62" s="312" t="s">
        <v>432</v>
      </c>
      <c r="B62" s="312"/>
      <c r="C62" s="313" t="s">
        <v>798</v>
      </c>
      <c r="D62" s="312" t="s">
        <v>639</v>
      </c>
      <c r="E62" s="314">
        <v>1</v>
      </c>
      <c r="F62" s="300">
        <v>2002.26</v>
      </c>
      <c r="G62" s="300">
        <f>E62*F62</f>
        <v>2002.26</v>
      </c>
    </row>
    <row r="63" spans="1:7">
      <c r="A63" s="263" t="s">
        <v>640</v>
      </c>
      <c r="B63" s="263" t="s">
        <v>773</v>
      </c>
      <c r="C63" s="264" t="s">
        <v>774</v>
      </c>
      <c r="D63" s="310" t="s">
        <v>28</v>
      </c>
      <c r="E63" s="265">
        <v>0.5</v>
      </c>
      <c r="F63" s="300">
        <v>32.56</v>
      </c>
      <c r="G63" s="276">
        <f t="shared" ref="G63:G69" si="2">E63*F63</f>
        <v>16.28</v>
      </c>
    </row>
    <row r="64" spans="1:7" ht="24">
      <c r="A64" s="263" t="s">
        <v>653</v>
      </c>
      <c r="B64" s="263" t="s">
        <v>776</v>
      </c>
      <c r="C64" s="264" t="s">
        <v>777</v>
      </c>
      <c r="D64" s="310" t="s">
        <v>656</v>
      </c>
      <c r="E64" s="265" t="s">
        <v>778</v>
      </c>
      <c r="F64" s="300">
        <v>20.52</v>
      </c>
      <c r="G64" s="276">
        <f t="shared" si="2"/>
        <v>9.8495999999999988</v>
      </c>
    </row>
    <row r="65" spans="1:7">
      <c r="A65" s="263" t="s">
        <v>653</v>
      </c>
      <c r="B65" s="263" t="s">
        <v>729</v>
      </c>
      <c r="C65" s="264" t="s">
        <v>730</v>
      </c>
      <c r="D65" s="310" t="s">
        <v>656</v>
      </c>
      <c r="E65" s="265">
        <v>0.3</v>
      </c>
      <c r="F65" s="300">
        <v>16.21</v>
      </c>
      <c r="G65" s="276">
        <f t="shared" si="2"/>
        <v>4.8630000000000004</v>
      </c>
    </row>
    <row r="66" spans="1:7">
      <c r="A66" s="300" t="s">
        <v>788</v>
      </c>
      <c r="B66" s="300" t="s">
        <v>781</v>
      </c>
      <c r="C66" s="308" t="s">
        <v>782</v>
      </c>
      <c r="D66" s="311" t="s">
        <v>639</v>
      </c>
      <c r="E66" s="275">
        <v>2</v>
      </c>
      <c r="F66" s="300">
        <v>121.37</v>
      </c>
      <c r="G66" s="300">
        <f t="shared" si="2"/>
        <v>242.74</v>
      </c>
    </row>
    <row r="67" spans="1:7" ht="30">
      <c r="A67" s="300" t="s">
        <v>788</v>
      </c>
      <c r="B67" s="300" t="s">
        <v>783</v>
      </c>
      <c r="C67" s="308" t="s">
        <v>784</v>
      </c>
      <c r="D67" s="311" t="s">
        <v>639</v>
      </c>
      <c r="E67" s="275">
        <v>2</v>
      </c>
      <c r="F67" s="300">
        <v>48.55</v>
      </c>
      <c r="G67" s="300">
        <f t="shared" si="2"/>
        <v>97.1</v>
      </c>
    </row>
    <row r="68" spans="1:7">
      <c r="A68" s="300" t="s">
        <v>788</v>
      </c>
      <c r="B68" s="300" t="s">
        <v>785</v>
      </c>
      <c r="C68" s="308" t="s">
        <v>789</v>
      </c>
      <c r="D68" s="311" t="s">
        <v>656</v>
      </c>
      <c r="E68" s="275">
        <v>1</v>
      </c>
      <c r="F68" s="191">
        <v>11.77</v>
      </c>
      <c r="G68" s="300">
        <f t="shared" si="2"/>
        <v>11.77</v>
      </c>
    </row>
    <row r="69" spans="1:7">
      <c r="A69" s="300" t="s">
        <v>788</v>
      </c>
      <c r="B69" s="300" t="s">
        <v>786</v>
      </c>
      <c r="C69" s="308" t="s">
        <v>787</v>
      </c>
      <c r="D69" s="311" t="s">
        <v>656</v>
      </c>
      <c r="E69" s="275">
        <v>1</v>
      </c>
      <c r="F69" s="191">
        <v>15.14</v>
      </c>
      <c r="G69" s="300">
        <f t="shared" si="2"/>
        <v>15.14</v>
      </c>
    </row>
    <row r="70" spans="1:7">
      <c r="C70" s="302"/>
      <c r="D70" s="304"/>
      <c r="G70" s="276">
        <f>SUM(G62:G69)</f>
        <v>2400.0025999999998</v>
      </c>
    </row>
    <row r="75" spans="1:7" ht="72">
      <c r="A75" s="306" t="s">
        <v>772</v>
      </c>
      <c r="B75" s="306" t="s">
        <v>1171</v>
      </c>
      <c r="C75" s="307" t="s">
        <v>1168</v>
      </c>
      <c r="D75" s="306" t="s">
        <v>639</v>
      </c>
      <c r="E75" s="271" t="s">
        <v>174</v>
      </c>
      <c r="F75" s="441"/>
      <c r="G75" s="441"/>
    </row>
    <row r="76" spans="1:7" ht="30">
      <c r="A76" s="389" t="s">
        <v>1172</v>
      </c>
      <c r="B76" s="300" t="s">
        <v>1173</v>
      </c>
      <c r="C76" s="444" t="s">
        <v>1030</v>
      </c>
      <c r="D76" s="445" t="s">
        <v>438</v>
      </c>
      <c r="E76" s="276">
        <f>'Quantitativo '!I280+'Quantitativo '!J280</f>
        <v>32.274781000000004</v>
      </c>
      <c r="F76" s="275">
        <f>Orçamento!G29</f>
        <v>8.2421199999999999</v>
      </c>
      <c r="G76" s="276">
        <f>E76*F76</f>
        <v>266.01261797572005</v>
      </c>
    </row>
    <row r="77" spans="1:7" ht="75">
      <c r="A77" s="389" t="s">
        <v>1174</v>
      </c>
      <c r="B77" s="300">
        <v>92268</v>
      </c>
      <c r="C77" s="444" t="s">
        <v>1033</v>
      </c>
      <c r="D77" s="300" t="s">
        <v>805</v>
      </c>
      <c r="E77" s="276">
        <f>'Quantitativo '!K280</f>
        <v>5.4860000000000007</v>
      </c>
      <c r="F77" s="275">
        <f>Orçamento!G31</f>
        <v>25.74</v>
      </c>
      <c r="G77" s="276">
        <f>E77*F77</f>
        <v>141.20964000000001</v>
      </c>
    </row>
    <row r="78" spans="1:7" ht="60">
      <c r="A78" s="389" t="s">
        <v>1172</v>
      </c>
      <c r="B78" s="300" t="s">
        <v>1175</v>
      </c>
      <c r="C78" s="444" t="s">
        <v>862</v>
      </c>
      <c r="D78" s="445" t="s">
        <v>807</v>
      </c>
      <c r="E78" s="300">
        <f>'Quantitativo '!H280</f>
        <v>0.28990000000000005</v>
      </c>
      <c r="F78" s="275">
        <f>Orçamento!G32</f>
        <v>412.51810599999999</v>
      </c>
      <c r="G78" s="276">
        <f t="shared" ref="G78" si="3">E78*F78</f>
        <v>119.58899892940002</v>
      </c>
    </row>
    <row r="79" spans="1:7">
      <c r="A79" s="441"/>
      <c r="B79" s="441"/>
      <c r="C79" s="440"/>
      <c r="D79" s="439"/>
      <c r="F79" s="441"/>
      <c r="G79" s="276">
        <f>SUM(G76:G78)</f>
        <v>526.81125690511999</v>
      </c>
    </row>
  </sheetData>
  <conditionalFormatting sqref="A1:E15 A23:D23">
    <cfRule type="expression" dxfId="15" priority="25" stopIfTrue="1">
      <formula>AND($A1&lt;&gt;"COMPOSICAO",$A1&lt;&gt;"INSUMO",$A1&lt;&gt;"")</formula>
    </cfRule>
    <cfRule type="expression" dxfId="14" priority="26" stopIfTrue="1">
      <formula>AND(OR($A1="COMPOSICAO",$A1="INSUMO",$A1&lt;&gt;""),$A1&lt;&gt;"")</formula>
    </cfRule>
  </conditionalFormatting>
  <conditionalFormatting sqref="A19:E20">
    <cfRule type="expression" dxfId="13" priority="23" stopIfTrue="1">
      <formula>AND($A19&lt;&gt;"COMPOSICAO",$A19&lt;&gt;"INSUMO",$A19&lt;&gt;"")</formula>
    </cfRule>
    <cfRule type="expression" dxfId="12" priority="24" stopIfTrue="1">
      <formula>AND(OR($A19="COMPOSICAO",$A19="INSUMO",$A19&lt;&gt;""),$A19&lt;&gt;"")</formula>
    </cfRule>
  </conditionalFormatting>
  <conditionalFormatting sqref="A22:E22">
    <cfRule type="expression" dxfId="11" priority="21" stopIfTrue="1">
      <formula>AND($A22&lt;&gt;"COMPOSICAO",$A22&lt;&gt;"INSUMO",$A22&lt;&gt;"")</formula>
    </cfRule>
    <cfRule type="expression" dxfId="10" priority="22" stopIfTrue="1">
      <formula>AND(OR($A22="COMPOSICAO",$A22="INSUMO",$A22&lt;&gt;""),$A22&lt;&gt;"")</formula>
    </cfRule>
  </conditionalFormatting>
  <conditionalFormatting sqref="A24:D24">
    <cfRule type="expression" dxfId="9" priority="15" stopIfTrue="1">
      <formula>AND($A24&lt;&gt;"COMPOSICAO",$A24&lt;&gt;"INSUMO",$A24&lt;&gt;"")</formula>
    </cfRule>
    <cfRule type="expression" dxfId="8" priority="16" stopIfTrue="1">
      <formula>AND(OR($A24="COMPOSICAO",$A24="INSUMO",$A24&lt;&gt;""),$A24&lt;&gt;"")</formula>
    </cfRule>
  </conditionalFormatting>
  <conditionalFormatting sqref="A28:E45">
    <cfRule type="expression" dxfId="7" priority="13" stopIfTrue="1">
      <formula>AND($A28&lt;&gt;"COMPOSICAO",$A28&lt;&gt;"INSUMO",$A28&lt;&gt;"")</formula>
    </cfRule>
    <cfRule type="expression" dxfId="6" priority="14" stopIfTrue="1">
      <formula>AND(OR($A28="COMPOSICAO",$A28="INSUMO",$A28&lt;&gt;""),$A28&lt;&gt;"")</formula>
    </cfRule>
  </conditionalFormatting>
  <conditionalFormatting sqref="A50:E54">
    <cfRule type="expression" dxfId="5" priority="11" stopIfTrue="1">
      <formula>AND($A50&lt;&gt;"COMPOSICAO",$A50&lt;&gt;"INSUMO",$A50&lt;&gt;"")</formula>
    </cfRule>
    <cfRule type="expression" dxfId="4" priority="12" stopIfTrue="1">
      <formula>AND(OR($A50="COMPOSICAO",$A50="INSUMO",$A50&lt;&gt;""),$A50&lt;&gt;"")</formula>
    </cfRule>
  </conditionalFormatting>
  <conditionalFormatting sqref="A61:E65">
    <cfRule type="expression" dxfId="3" priority="3" stopIfTrue="1">
      <formula>AND($A61&lt;&gt;"COMPOSICAO",$A61&lt;&gt;"INSUMO",$A61&lt;&gt;"")</formula>
    </cfRule>
    <cfRule type="expression" dxfId="2" priority="4" stopIfTrue="1">
      <formula>AND(OR($A61="COMPOSICAO",$A61="INSUMO",$A61&lt;&gt;""),$A61&lt;&gt;"")</formula>
    </cfRule>
  </conditionalFormatting>
  <conditionalFormatting sqref="A75:E75">
    <cfRule type="expression" dxfId="1" priority="1" stopIfTrue="1">
      <formula>AND($A75&lt;&gt;"COMPOSICAO",$A75&lt;&gt;"INSUMO",$A75&lt;&gt;"")</formula>
    </cfRule>
    <cfRule type="expression" dxfId="0" priority="2" stopIfTrue="1">
      <formula>AND(OR($A75="COMPOSICAO",$A75="INSUMO",$A75&lt;&gt;""),$A75&lt;&gt;"")</formula>
    </cfRule>
  </conditionalFormatting>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AD74"/>
  <sheetViews>
    <sheetView view="pageBreakPreview" zoomScale="90" zoomScaleNormal="75" zoomScaleSheetLayoutView="90" workbookViewId="0">
      <selection activeCell="D4" sqref="D4"/>
    </sheetView>
  </sheetViews>
  <sheetFormatPr defaultRowHeight="12.75"/>
  <cols>
    <col min="1" max="1" width="6.42578125" style="448" customWidth="1"/>
    <col min="2" max="2" width="5.85546875" style="448" customWidth="1"/>
    <col min="3" max="3" width="19.85546875" style="448" customWidth="1"/>
    <col min="4" max="4" width="14.85546875" style="448" bestFit="1" customWidth="1"/>
    <col min="5" max="5" width="9.42578125" style="448" customWidth="1"/>
    <col min="6" max="6" width="13.7109375" style="449" customWidth="1"/>
    <col min="7" max="7" width="8.7109375" style="449" customWidth="1"/>
    <col min="8" max="8" width="14.7109375" style="448" customWidth="1"/>
    <col min="9" max="9" width="8.7109375" style="448" customWidth="1"/>
    <col min="10" max="10" width="14.7109375" style="448" customWidth="1"/>
    <col min="11" max="11" width="8.7109375" style="448" customWidth="1"/>
    <col min="12" max="12" width="14.7109375" style="448" customWidth="1"/>
    <col min="13" max="13" width="8.7109375" style="448" customWidth="1"/>
    <col min="14" max="14" width="14.7109375" style="448" customWidth="1"/>
    <col min="15" max="15" width="8.7109375" style="448" customWidth="1"/>
    <col min="16" max="16" width="14.7109375" style="448" customWidth="1"/>
    <col min="17" max="17" width="8.7109375" style="448" customWidth="1"/>
    <col min="18" max="18" width="14.7109375" style="448" customWidth="1"/>
    <col min="19" max="19" width="8.7109375" style="448" customWidth="1"/>
    <col min="20" max="20" width="14.7109375" style="448" customWidth="1"/>
    <col min="21" max="21" width="8.7109375" style="448" customWidth="1"/>
    <col min="22" max="22" width="14.7109375" style="448" customWidth="1"/>
    <col min="23" max="23" width="8.7109375" style="448" customWidth="1"/>
    <col min="24" max="24" width="14.7109375" style="448" customWidth="1"/>
    <col min="25" max="25" width="8.7109375" style="448" customWidth="1"/>
    <col min="26" max="16384" width="9.140625" style="448"/>
  </cols>
  <sheetData>
    <row r="1" spans="1:30" ht="16.5">
      <c r="A1" s="543"/>
      <c r="B1" s="544"/>
      <c r="C1" s="689" t="s">
        <v>1211</v>
      </c>
      <c r="D1" s="689"/>
      <c r="E1" s="689"/>
      <c r="F1" s="689"/>
      <c r="G1" s="545"/>
      <c r="H1" s="544"/>
      <c r="I1" s="544"/>
      <c r="J1" s="544"/>
      <c r="K1" s="544"/>
      <c r="L1" s="544"/>
      <c r="M1" s="544"/>
      <c r="N1" s="544"/>
      <c r="O1" s="544"/>
      <c r="P1" s="544"/>
      <c r="Q1" s="544"/>
      <c r="R1" s="544"/>
      <c r="S1" s="544"/>
      <c r="T1" s="544"/>
      <c r="U1" s="544"/>
      <c r="V1" s="544"/>
      <c r="W1" s="544"/>
      <c r="X1" s="544"/>
      <c r="Y1" s="546"/>
    </row>
    <row r="2" spans="1:30" ht="15">
      <c r="A2" s="547"/>
      <c r="B2" s="451"/>
      <c r="C2" s="534" t="s">
        <v>1210</v>
      </c>
      <c r="D2" s="534"/>
      <c r="E2" s="535"/>
      <c r="F2" s="536"/>
      <c r="G2" s="537"/>
      <c r="H2" s="451"/>
      <c r="I2" s="451"/>
      <c r="J2" s="451"/>
      <c r="K2" s="451"/>
      <c r="L2" s="451"/>
      <c r="M2" s="451"/>
      <c r="N2" s="451"/>
      <c r="O2" s="451"/>
      <c r="P2" s="451"/>
      <c r="Q2" s="451"/>
      <c r="R2" s="451"/>
      <c r="S2" s="451"/>
      <c r="T2" s="451"/>
      <c r="U2" s="451"/>
      <c r="V2" s="451"/>
      <c r="W2" s="451"/>
      <c r="X2" s="451"/>
      <c r="Y2" s="548"/>
    </row>
    <row r="3" spans="1:30" ht="15">
      <c r="A3" s="547"/>
      <c r="B3" s="451"/>
      <c r="C3" s="534"/>
      <c r="D3" s="534"/>
      <c r="E3" s="535"/>
      <c r="F3" s="536"/>
      <c r="G3" s="537"/>
      <c r="H3" s="451"/>
      <c r="I3" s="451"/>
      <c r="J3" s="451"/>
      <c r="K3" s="451"/>
      <c r="L3" s="451"/>
      <c r="M3" s="451"/>
      <c r="N3" s="451"/>
      <c r="O3" s="451"/>
      <c r="P3" s="451"/>
      <c r="Q3" s="451"/>
      <c r="R3" s="451"/>
      <c r="S3" s="451"/>
      <c r="T3" s="451"/>
      <c r="U3" s="451"/>
      <c r="V3" s="451"/>
      <c r="W3" s="451"/>
      <c r="X3" s="451"/>
      <c r="Y3" s="548"/>
    </row>
    <row r="4" spans="1:30" ht="15">
      <c r="A4" s="547"/>
      <c r="B4" s="451"/>
      <c r="C4" s="534" t="s">
        <v>1209</v>
      </c>
      <c r="D4" s="534"/>
      <c r="E4" s="535"/>
      <c r="F4" s="536"/>
      <c r="G4" s="537"/>
      <c r="H4" s="451"/>
      <c r="I4" s="451"/>
      <c r="J4" s="451"/>
      <c r="K4" s="451"/>
      <c r="L4" s="451"/>
      <c r="M4" s="451"/>
      <c r="N4" s="451"/>
      <c r="O4" s="451"/>
      <c r="P4" s="451"/>
      <c r="Q4" s="451"/>
      <c r="R4" s="451"/>
      <c r="S4" s="451"/>
      <c r="T4" s="451"/>
      <c r="U4" s="451"/>
      <c r="V4" s="451"/>
      <c r="W4" s="451"/>
      <c r="X4" s="451"/>
      <c r="Y4" s="548"/>
    </row>
    <row r="5" spans="1:30">
      <c r="A5" s="547"/>
      <c r="B5" s="451"/>
      <c r="C5" s="451"/>
      <c r="D5" s="451"/>
      <c r="E5" s="451"/>
      <c r="F5" s="537"/>
      <c r="G5" s="537"/>
      <c r="H5" s="451"/>
      <c r="I5" s="451"/>
      <c r="J5" s="451"/>
      <c r="K5" s="451"/>
      <c r="L5" s="451"/>
      <c r="M5" s="451"/>
      <c r="N5" s="451"/>
      <c r="O5" s="451"/>
      <c r="P5" s="451"/>
      <c r="Q5" s="451"/>
      <c r="R5" s="451"/>
      <c r="S5" s="451"/>
      <c r="T5" s="451"/>
      <c r="U5" s="451"/>
      <c r="V5" s="451"/>
      <c r="W5" s="451"/>
      <c r="X5" s="451"/>
      <c r="Y5" s="548"/>
    </row>
    <row r="6" spans="1:30" ht="24.75" customHeight="1">
      <c r="A6" s="695" t="s">
        <v>1208</v>
      </c>
      <c r="B6" s="696"/>
      <c r="C6" s="696"/>
      <c r="D6" s="696"/>
      <c r="E6" s="696"/>
      <c r="F6" s="696"/>
      <c r="G6" s="696"/>
      <c r="H6" s="538"/>
      <c r="I6" s="538"/>
      <c r="J6" s="538"/>
      <c r="K6" s="538"/>
      <c r="L6" s="538"/>
      <c r="M6" s="538"/>
      <c r="N6" s="538"/>
      <c r="O6" s="538"/>
      <c r="P6" s="538"/>
      <c r="Q6" s="538"/>
      <c r="R6" s="538"/>
      <c r="S6" s="538"/>
      <c r="T6" s="538"/>
      <c r="U6" s="538"/>
      <c r="V6" s="538"/>
      <c r="W6" s="538"/>
      <c r="X6" s="538"/>
      <c r="Y6" s="549"/>
    </row>
    <row r="7" spans="1:30" ht="20.25" customHeight="1">
      <c r="A7" s="690" t="s">
        <v>1207</v>
      </c>
      <c r="B7" s="691"/>
      <c r="C7" s="691"/>
      <c r="D7" s="691"/>
      <c r="E7" s="691"/>
      <c r="F7" s="691"/>
      <c r="G7" s="539"/>
      <c r="H7" s="538"/>
      <c r="I7" s="538"/>
      <c r="J7" s="538"/>
      <c r="K7" s="538"/>
      <c r="L7" s="538"/>
      <c r="M7" s="538"/>
      <c r="N7" s="538"/>
      <c r="O7" s="538"/>
      <c r="P7" s="538"/>
      <c r="Q7" s="538"/>
      <c r="R7" s="538"/>
      <c r="S7" s="538"/>
      <c r="T7" s="538"/>
      <c r="U7" s="538"/>
      <c r="V7" s="538"/>
      <c r="W7" s="538"/>
      <c r="X7" s="538"/>
      <c r="Y7" s="549"/>
    </row>
    <row r="8" spans="1:30" ht="18.75" customHeight="1">
      <c r="A8" s="690" t="s">
        <v>1206</v>
      </c>
      <c r="B8" s="691"/>
      <c r="C8" s="691"/>
      <c r="D8" s="691"/>
      <c r="E8" s="691"/>
      <c r="F8" s="691"/>
      <c r="G8" s="539"/>
      <c r="H8" s="538"/>
      <c r="I8" s="538"/>
      <c r="J8" s="538"/>
      <c r="K8" s="538"/>
      <c r="L8" s="538"/>
      <c r="M8" s="538"/>
      <c r="N8" s="538"/>
      <c r="O8" s="538"/>
      <c r="P8" s="538"/>
      <c r="Q8" s="538"/>
      <c r="R8" s="538"/>
      <c r="S8" s="538"/>
      <c r="T8" s="538"/>
      <c r="U8" s="538"/>
      <c r="V8" s="538"/>
      <c r="W8" s="538"/>
      <c r="X8" s="538"/>
      <c r="Y8" s="549"/>
    </row>
    <row r="9" spans="1:30" ht="24" customHeight="1">
      <c r="A9" s="694" t="s">
        <v>1205</v>
      </c>
      <c r="B9" s="692"/>
      <c r="C9" s="692"/>
      <c r="D9" s="692"/>
      <c r="E9" s="692"/>
      <c r="F9" s="692"/>
      <c r="G9" s="692"/>
      <c r="H9" s="692"/>
      <c r="I9" s="692"/>
      <c r="J9" s="692"/>
      <c r="K9" s="692"/>
      <c r="L9" s="692"/>
      <c r="M9" s="692"/>
      <c r="N9" s="692" t="s">
        <v>1204</v>
      </c>
      <c r="O9" s="692"/>
      <c r="P9" s="692"/>
      <c r="Q9" s="692"/>
      <c r="R9" s="692"/>
      <c r="S9" s="692"/>
      <c r="T9" s="692"/>
      <c r="U9" s="692"/>
      <c r="V9" s="692"/>
      <c r="W9" s="692"/>
      <c r="X9" s="692"/>
      <c r="Y9" s="693"/>
      <c r="Z9" s="479"/>
      <c r="AA9" s="479"/>
      <c r="AB9" s="479"/>
      <c r="AC9" s="479"/>
      <c r="AD9" s="479"/>
    </row>
    <row r="10" spans="1:30" ht="15.75" customHeight="1">
      <c r="A10" s="547"/>
      <c r="B10" s="451"/>
      <c r="C10" s="451"/>
      <c r="D10" s="451"/>
      <c r="E10" s="451"/>
      <c r="F10" s="537"/>
      <c r="G10" s="537"/>
      <c r="H10" s="451"/>
      <c r="I10" s="451"/>
      <c r="J10" s="451"/>
      <c r="K10" s="451"/>
      <c r="L10" s="451"/>
      <c r="M10" s="451"/>
      <c r="N10" s="451"/>
      <c r="O10" s="451"/>
      <c r="P10" s="451"/>
      <c r="Q10" s="451"/>
      <c r="R10" s="451"/>
      <c r="S10" s="451"/>
      <c r="T10" s="451"/>
      <c r="U10" s="451"/>
      <c r="V10" s="451"/>
      <c r="W10" s="451"/>
      <c r="X10" s="451"/>
      <c r="Y10" s="548"/>
    </row>
    <row r="11" spans="1:30" ht="20.100000000000001" customHeight="1">
      <c r="A11" s="707" t="s">
        <v>2</v>
      </c>
      <c r="B11" s="707" t="s">
        <v>1203</v>
      </c>
      <c r="C11" s="707"/>
      <c r="D11" s="687" t="s">
        <v>1202</v>
      </c>
      <c r="E11" s="687" t="s">
        <v>1201</v>
      </c>
      <c r="F11" s="697" t="s">
        <v>1200</v>
      </c>
      <c r="G11" s="697"/>
      <c r="H11" s="697"/>
      <c r="I11" s="697"/>
      <c r="J11" s="697"/>
      <c r="K11" s="697"/>
      <c r="L11" s="697"/>
      <c r="M11" s="697"/>
      <c r="N11" s="697" t="s">
        <v>1200</v>
      </c>
      <c r="O11" s="697"/>
      <c r="P11" s="697"/>
      <c r="Q11" s="697"/>
      <c r="R11" s="697"/>
      <c r="S11" s="697"/>
      <c r="T11" s="697"/>
      <c r="U11" s="697"/>
      <c r="V11" s="697"/>
      <c r="W11" s="697"/>
      <c r="X11" s="697"/>
      <c r="Y11" s="697"/>
    </row>
    <row r="12" spans="1:30" ht="20.100000000000001" customHeight="1">
      <c r="A12" s="707"/>
      <c r="B12" s="707"/>
      <c r="C12" s="707"/>
      <c r="D12" s="688"/>
      <c r="E12" s="688"/>
      <c r="F12" s="686" t="s">
        <v>1199</v>
      </c>
      <c r="G12" s="686"/>
      <c r="H12" s="686" t="s">
        <v>1198</v>
      </c>
      <c r="I12" s="686"/>
      <c r="J12" s="686" t="s">
        <v>1197</v>
      </c>
      <c r="K12" s="686"/>
      <c r="L12" s="686" t="s">
        <v>1196</v>
      </c>
      <c r="M12" s="686"/>
      <c r="N12" s="686" t="s">
        <v>1195</v>
      </c>
      <c r="O12" s="686"/>
      <c r="P12" s="686" t="s">
        <v>1194</v>
      </c>
      <c r="Q12" s="686"/>
      <c r="R12" s="686" t="s">
        <v>1193</v>
      </c>
      <c r="S12" s="686"/>
      <c r="T12" s="686" t="s">
        <v>1192</v>
      </c>
      <c r="U12" s="686"/>
      <c r="V12" s="686" t="s">
        <v>1191</v>
      </c>
      <c r="W12" s="686"/>
      <c r="X12" s="686" t="s">
        <v>1190</v>
      </c>
      <c r="Y12" s="686"/>
    </row>
    <row r="13" spans="1:30" ht="20.100000000000001" customHeight="1">
      <c r="A13" s="477" t="s">
        <v>10</v>
      </c>
      <c r="B13" s="685" t="s">
        <v>1189</v>
      </c>
      <c r="C13" s="685"/>
      <c r="D13" s="476">
        <f>Orçamento!I9</f>
        <v>58867.920000000006</v>
      </c>
      <c r="E13" s="475">
        <f t="shared" ref="E13:E31" si="0">D13/$D$31</f>
        <v>4.0794223899264931E-2</v>
      </c>
      <c r="F13" s="472">
        <f>D13*G13</f>
        <v>58867.920000000006</v>
      </c>
      <c r="G13" s="471">
        <v>1</v>
      </c>
      <c r="H13" s="474">
        <f t="shared" ref="H13:H24" si="1">I13*D13</f>
        <v>0</v>
      </c>
      <c r="I13" s="473">
        <v>0</v>
      </c>
      <c r="J13" s="474">
        <f t="shared" ref="J13:J24" si="2">K13*D13</f>
        <v>0</v>
      </c>
      <c r="K13" s="473">
        <v>0</v>
      </c>
      <c r="L13" s="474">
        <f t="shared" ref="L13:L24" si="3">M13*D13</f>
        <v>0</v>
      </c>
      <c r="M13" s="473">
        <v>0</v>
      </c>
      <c r="N13" s="474">
        <f>O13*D13</f>
        <v>0</v>
      </c>
      <c r="O13" s="473">
        <v>0</v>
      </c>
      <c r="P13" s="474">
        <f>Q13*D13</f>
        <v>0</v>
      </c>
      <c r="Q13" s="473">
        <v>0</v>
      </c>
      <c r="R13" s="474">
        <f>S13*D13</f>
        <v>0</v>
      </c>
      <c r="S13" s="473">
        <v>0</v>
      </c>
      <c r="T13" s="474">
        <f>U13*D13</f>
        <v>0</v>
      </c>
      <c r="U13" s="473">
        <v>0</v>
      </c>
      <c r="V13" s="474">
        <f>W13*D13</f>
        <v>0</v>
      </c>
      <c r="W13" s="473">
        <v>0</v>
      </c>
      <c r="X13" s="474">
        <f>Y13*D13</f>
        <v>0</v>
      </c>
      <c r="Y13" s="473">
        <v>0</v>
      </c>
    </row>
    <row r="14" spans="1:30" ht="20.100000000000001" customHeight="1">
      <c r="A14" s="477" t="s">
        <v>18</v>
      </c>
      <c r="B14" s="685" t="s">
        <v>1212</v>
      </c>
      <c r="C14" s="685"/>
      <c r="D14" s="476">
        <f>Orçamento!I18</f>
        <v>15101.42</v>
      </c>
      <c r="E14" s="475">
        <f t="shared" si="0"/>
        <v>1.0464964766494847E-2</v>
      </c>
      <c r="F14" s="472">
        <f t="shared" ref="F14:F30" si="4">D14*G14</f>
        <v>12081.136</v>
      </c>
      <c r="G14" s="471">
        <v>0.8</v>
      </c>
      <c r="H14" s="472">
        <f t="shared" si="1"/>
        <v>3020.2840000000001</v>
      </c>
      <c r="I14" s="471">
        <v>0.2</v>
      </c>
      <c r="J14" s="474">
        <f t="shared" si="2"/>
        <v>0</v>
      </c>
      <c r="K14" s="473">
        <v>0</v>
      </c>
      <c r="L14" s="474">
        <f t="shared" si="3"/>
        <v>0</v>
      </c>
      <c r="M14" s="473">
        <v>0</v>
      </c>
      <c r="N14" s="474">
        <f t="shared" ref="N14:N30" si="5">O14*D14</f>
        <v>0</v>
      </c>
      <c r="O14" s="473">
        <v>0</v>
      </c>
      <c r="P14" s="474">
        <f t="shared" ref="P14:P30" si="6">Q14*D14</f>
        <v>0</v>
      </c>
      <c r="Q14" s="473">
        <v>0</v>
      </c>
      <c r="R14" s="474">
        <f t="shared" ref="R14:R30" si="7">S14*D14</f>
        <v>0</v>
      </c>
      <c r="S14" s="473">
        <v>0</v>
      </c>
      <c r="T14" s="474">
        <f t="shared" ref="T14:T30" si="8">U14*D14</f>
        <v>0</v>
      </c>
      <c r="U14" s="473">
        <v>0</v>
      </c>
      <c r="V14" s="474">
        <f t="shared" ref="V14:V30" si="9">W14*D14</f>
        <v>0</v>
      </c>
      <c r="W14" s="473">
        <v>0</v>
      </c>
      <c r="X14" s="474">
        <f t="shared" ref="X14:X30" si="10">Y14*D14</f>
        <v>0</v>
      </c>
      <c r="Y14" s="473">
        <v>0</v>
      </c>
    </row>
    <row r="15" spans="1:30" ht="20.100000000000001" customHeight="1">
      <c r="A15" s="477" t="s">
        <v>22</v>
      </c>
      <c r="B15" s="685" t="s">
        <v>1188</v>
      </c>
      <c r="C15" s="685"/>
      <c r="D15" s="476">
        <f>Orçamento!I22</f>
        <v>1659.18</v>
      </c>
      <c r="E15" s="475">
        <f t="shared" si="0"/>
        <v>1.1497766594977773E-3</v>
      </c>
      <c r="F15" s="472">
        <f t="shared" si="4"/>
        <v>1161.4259999999999</v>
      </c>
      <c r="G15" s="471">
        <v>0.7</v>
      </c>
      <c r="H15" s="472">
        <f t="shared" si="1"/>
        <v>331.83600000000001</v>
      </c>
      <c r="I15" s="471">
        <v>0.2</v>
      </c>
      <c r="J15" s="472">
        <f t="shared" si="2"/>
        <v>165.91800000000001</v>
      </c>
      <c r="K15" s="471">
        <v>0.1</v>
      </c>
      <c r="L15" s="474">
        <f t="shared" si="3"/>
        <v>0</v>
      </c>
      <c r="M15" s="473">
        <v>0</v>
      </c>
      <c r="N15" s="474">
        <f t="shared" si="5"/>
        <v>0</v>
      </c>
      <c r="O15" s="473">
        <v>0</v>
      </c>
      <c r="P15" s="474">
        <f t="shared" si="6"/>
        <v>0</v>
      </c>
      <c r="Q15" s="473">
        <v>0</v>
      </c>
      <c r="R15" s="474">
        <f t="shared" si="7"/>
        <v>0</v>
      </c>
      <c r="S15" s="473">
        <v>0</v>
      </c>
      <c r="T15" s="474">
        <f t="shared" si="8"/>
        <v>0</v>
      </c>
      <c r="U15" s="473">
        <v>0</v>
      </c>
      <c r="V15" s="474">
        <f t="shared" si="9"/>
        <v>0</v>
      </c>
      <c r="W15" s="473">
        <v>0</v>
      </c>
      <c r="X15" s="474">
        <f t="shared" si="10"/>
        <v>0</v>
      </c>
      <c r="Y15" s="473">
        <v>0</v>
      </c>
    </row>
    <row r="16" spans="1:30" ht="20.100000000000001" customHeight="1">
      <c r="A16" s="477" t="s">
        <v>26</v>
      </c>
      <c r="B16" s="685" t="s">
        <v>1213</v>
      </c>
      <c r="C16" s="685"/>
      <c r="D16" s="476">
        <f>Orçamento!I24</f>
        <v>120839.22</v>
      </c>
      <c r="E16" s="475">
        <f t="shared" si="0"/>
        <v>8.3739024522907088E-2</v>
      </c>
      <c r="F16" s="472">
        <f t="shared" si="4"/>
        <v>120839.22</v>
      </c>
      <c r="G16" s="471">
        <v>1</v>
      </c>
      <c r="H16" s="474">
        <f t="shared" si="1"/>
        <v>0</v>
      </c>
      <c r="I16" s="473">
        <v>0</v>
      </c>
      <c r="J16" s="474">
        <f t="shared" si="2"/>
        <v>0</v>
      </c>
      <c r="K16" s="473">
        <v>0</v>
      </c>
      <c r="L16" s="474">
        <f t="shared" si="3"/>
        <v>0</v>
      </c>
      <c r="M16" s="473">
        <v>0</v>
      </c>
      <c r="N16" s="474">
        <f t="shared" si="5"/>
        <v>0</v>
      </c>
      <c r="O16" s="473">
        <v>0</v>
      </c>
      <c r="P16" s="474">
        <f t="shared" si="6"/>
        <v>0</v>
      </c>
      <c r="Q16" s="473">
        <v>0</v>
      </c>
      <c r="R16" s="474">
        <f t="shared" si="7"/>
        <v>0</v>
      </c>
      <c r="S16" s="473">
        <v>0</v>
      </c>
      <c r="T16" s="474">
        <f t="shared" si="8"/>
        <v>0</v>
      </c>
      <c r="U16" s="473">
        <v>0</v>
      </c>
      <c r="V16" s="474">
        <f t="shared" si="9"/>
        <v>0</v>
      </c>
      <c r="W16" s="473">
        <v>0</v>
      </c>
      <c r="X16" s="474">
        <f t="shared" si="10"/>
        <v>0</v>
      </c>
      <c r="Y16" s="473">
        <v>0</v>
      </c>
    </row>
    <row r="17" spans="1:25" ht="20.100000000000001" customHeight="1">
      <c r="A17" s="477" t="s">
        <v>29</v>
      </c>
      <c r="B17" s="685" t="s">
        <v>1214</v>
      </c>
      <c r="C17" s="685"/>
      <c r="D17" s="476">
        <f>Orçamento!I28</f>
        <v>284893.12000000005</v>
      </c>
      <c r="E17" s="475">
        <f t="shared" si="0"/>
        <v>0.19742490858586736</v>
      </c>
      <c r="F17" s="472">
        <f t="shared" si="4"/>
        <v>28489.312000000005</v>
      </c>
      <c r="G17" s="471">
        <v>0.1</v>
      </c>
      <c r="H17" s="472">
        <f t="shared" si="1"/>
        <v>56978.624000000011</v>
      </c>
      <c r="I17" s="471">
        <v>0.2</v>
      </c>
      <c r="J17" s="472">
        <f t="shared" si="2"/>
        <v>56978.624000000011</v>
      </c>
      <c r="K17" s="471">
        <v>0.2</v>
      </c>
      <c r="L17" s="472">
        <f t="shared" si="3"/>
        <v>56978.624000000011</v>
      </c>
      <c r="M17" s="471">
        <v>0.2</v>
      </c>
      <c r="N17" s="472">
        <f t="shared" si="5"/>
        <v>28489.312000000005</v>
      </c>
      <c r="O17" s="471">
        <v>0.1</v>
      </c>
      <c r="P17" s="472">
        <f t="shared" si="6"/>
        <v>28489.312000000005</v>
      </c>
      <c r="Q17" s="471">
        <v>0.1</v>
      </c>
      <c r="R17" s="472">
        <f t="shared" si="7"/>
        <v>28489.312000000005</v>
      </c>
      <c r="S17" s="471">
        <v>0.1</v>
      </c>
      <c r="T17" s="474">
        <f t="shared" si="8"/>
        <v>0</v>
      </c>
      <c r="U17" s="473">
        <v>0</v>
      </c>
      <c r="V17" s="474">
        <f t="shared" si="9"/>
        <v>0</v>
      </c>
      <c r="W17" s="473">
        <v>0</v>
      </c>
      <c r="X17" s="474">
        <f t="shared" si="10"/>
        <v>0</v>
      </c>
      <c r="Y17" s="473">
        <v>0</v>
      </c>
    </row>
    <row r="18" spans="1:25" s="486" customFormat="1" ht="20.100000000000001" customHeight="1">
      <c r="A18" s="477" t="s">
        <v>33</v>
      </c>
      <c r="B18" s="711" t="s">
        <v>1215</v>
      </c>
      <c r="C18" s="711"/>
      <c r="D18" s="482">
        <f>Orçamento!I36</f>
        <v>63481.78</v>
      </c>
      <c r="E18" s="483">
        <f t="shared" si="0"/>
        <v>4.3991531327145214E-2</v>
      </c>
      <c r="F18" s="474">
        <f t="shared" si="4"/>
        <v>0</v>
      </c>
      <c r="G18" s="473">
        <v>0</v>
      </c>
      <c r="H18" s="472">
        <f t="shared" si="1"/>
        <v>19044.534</v>
      </c>
      <c r="I18" s="471">
        <v>0.3</v>
      </c>
      <c r="J18" s="472">
        <f t="shared" si="2"/>
        <v>22218.623</v>
      </c>
      <c r="K18" s="471">
        <v>0.35</v>
      </c>
      <c r="L18" s="472">
        <f t="shared" si="3"/>
        <v>6348.1779999999999</v>
      </c>
      <c r="M18" s="471">
        <v>0.1</v>
      </c>
      <c r="N18" s="472">
        <f t="shared" si="5"/>
        <v>6348.1779999999999</v>
      </c>
      <c r="O18" s="471">
        <v>0.1</v>
      </c>
      <c r="P18" s="472">
        <f t="shared" si="6"/>
        <v>3174.0889999999999</v>
      </c>
      <c r="Q18" s="471">
        <v>0.05</v>
      </c>
      <c r="R18" s="472">
        <f t="shared" si="7"/>
        <v>3174.0889999999999</v>
      </c>
      <c r="S18" s="471">
        <v>0.05</v>
      </c>
      <c r="T18" s="472">
        <f t="shared" si="8"/>
        <v>3174.0889999999999</v>
      </c>
      <c r="U18" s="471">
        <v>0.05</v>
      </c>
      <c r="V18" s="484">
        <f t="shared" si="9"/>
        <v>0</v>
      </c>
      <c r="W18" s="485">
        <v>0</v>
      </c>
      <c r="X18" s="484">
        <f t="shared" si="10"/>
        <v>0</v>
      </c>
      <c r="Y18" s="485">
        <v>0</v>
      </c>
    </row>
    <row r="19" spans="1:25" ht="20.100000000000001" customHeight="1">
      <c r="A19" s="477" t="s">
        <v>452</v>
      </c>
      <c r="B19" s="685" t="s">
        <v>1216</v>
      </c>
      <c r="C19" s="685"/>
      <c r="D19" s="476">
        <f>Orçamento!I41</f>
        <v>100621.04000000001</v>
      </c>
      <c r="E19" s="475">
        <f t="shared" si="0"/>
        <v>6.9728253261485934E-2</v>
      </c>
      <c r="F19" s="474">
        <f t="shared" si="4"/>
        <v>0</v>
      </c>
      <c r="G19" s="473">
        <v>0</v>
      </c>
      <c r="H19" s="474">
        <f t="shared" si="1"/>
        <v>0</v>
      </c>
      <c r="I19" s="473">
        <v>0</v>
      </c>
      <c r="J19" s="474">
        <f t="shared" si="2"/>
        <v>0</v>
      </c>
      <c r="K19" s="473">
        <v>0</v>
      </c>
      <c r="L19" s="472">
        <f t="shared" si="3"/>
        <v>10062.104000000001</v>
      </c>
      <c r="M19" s="471">
        <v>0.1</v>
      </c>
      <c r="N19" s="472">
        <f t="shared" si="5"/>
        <v>30186.312000000002</v>
      </c>
      <c r="O19" s="471">
        <v>0.3</v>
      </c>
      <c r="P19" s="472">
        <f t="shared" si="6"/>
        <v>20124.208000000002</v>
      </c>
      <c r="Q19" s="471">
        <v>0.2</v>
      </c>
      <c r="R19" s="472">
        <f t="shared" si="7"/>
        <v>30186.312000000002</v>
      </c>
      <c r="S19" s="471">
        <v>0.3</v>
      </c>
      <c r="T19" s="472">
        <f t="shared" si="8"/>
        <v>10062.104000000001</v>
      </c>
      <c r="U19" s="471">
        <v>0.1</v>
      </c>
      <c r="V19" s="474">
        <f t="shared" si="9"/>
        <v>0</v>
      </c>
      <c r="W19" s="478">
        <v>0</v>
      </c>
      <c r="X19" s="474">
        <f t="shared" si="10"/>
        <v>0</v>
      </c>
      <c r="Y19" s="473">
        <v>0</v>
      </c>
    </row>
    <row r="20" spans="1:25" ht="20.100000000000001" customHeight="1">
      <c r="A20" s="477" t="s">
        <v>42</v>
      </c>
      <c r="B20" s="685" t="s">
        <v>1217</v>
      </c>
      <c r="C20" s="685"/>
      <c r="D20" s="476">
        <f>Orçamento!I68</f>
        <v>110732.87000000001</v>
      </c>
      <c r="E20" s="475">
        <f t="shared" si="0"/>
        <v>7.6735537654263927E-2</v>
      </c>
      <c r="F20" s="474">
        <f t="shared" si="4"/>
        <v>0</v>
      </c>
      <c r="G20" s="473">
        <v>0</v>
      </c>
      <c r="H20" s="474">
        <f t="shared" si="1"/>
        <v>0</v>
      </c>
      <c r="I20" s="478">
        <v>0</v>
      </c>
      <c r="J20" s="472">
        <f t="shared" si="2"/>
        <v>11073.287000000002</v>
      </c>
      <c r="K20" s="471">
        <v>0.1</v>
      </c>
      <c r="L20" s="472">
        <f t="shared" si="3"/>
        <v>16609.930500000002</v>
      </c>
      <c r="M20" s="471">
        <v>0.15</v>
      </c>
      <c r="N20" s="472">
        <f t="shared" si="5"/>
        <v>16609.930500000002</v>
      </c>
      <c r="O20" s="471">
        <v>0.15</v>
      </c>
      <c r="P20" s="472">
        <f t="shared" si="6"/>
        <v>33219.861000000004</v>
      </c>
      <c r="Q20" s="471">
        <v>0.3</v>
      </c>
      <c r="R20" s="472">
        <f t="shared" si="7"/>
        <v>22146.574000000004</v>
      </c>
      <c r="S20" s="471">
        <v>0.2</v>
      </c>
      <c r="T20" s="472">
        <f t="shared" si="8"/>
        <v>5536.643500000001</v>
      </c>
      <c r="U20" s="471">
        <v>0.05</v>
      </c>
      <c r="V20" s="472">
        <f t="shared" si="9"/>
        <v>5536.643500000001</v>
      </c>
      <c r="W20" s="471">
        <v>0.05</v>
      </c>
      <c r="X20" s="474">
        <f t="shared" si="10"/>
        <v>0</v>
      </c>
      <c r="Y20" s="478">
        <v>0</v>
      </c>
    </row>
    <row r="21" spans="1:25" ht="20.100000000000001" customHeight="1">
      <c r="A21" s="477" t="s">
        <v>46</v>
      </c>
      <c r="B21" s="685" t="s">
        <v>1218</v>
      </c>
      <c r="C21" s="685"/>
      <c r="D21" s="476">
        <f>Orçamento!I88</f>
        <v>70238.77</v>
      </c>
      <c r="E21" s="475">
        <f t="shared" si="0"/>
        <v>4.8673982532234407E-2</v>
      </c>
      <c r="F21" s="472">
        <f t="shared" si="4"/>
        <v>7023.8770000000004</v>
      </c>
      <c r="G21" s="471">
        <v>0.1</v>
      </c>
      <c r="H21" s="472">
        <f t="shared" si="1"/>
        <v>28095.508000000002</v>
      </c>
      <c r="I21" s="471">
        <v>0.4</v>
      </c>
      <c r="J21" s="472">
        <f t="shared" si="2"/>
        <v>28095.508000000002</v>
      </c>
      <c r="K21" s="471">
        <v>0.4</v>
      </c>
      <c r="L21" s="472">
        <f t="shared" si="3"/>
        <v>7023.8770000000004</v>
      </c>
      <c r="M21" s="471">
        <v>0.1</v>
      </c>
      <c r="N21" s="474">
        <f t="shared" si="5"/>
        <v>0</v>
      </c>
      <c r="O21" s="478">
        <v>0</v>
      </c>
      <c r="P21" s="474">
        <f t="shared" si="6"/>
        <v>0</v>
      </c>
      <c r="Q21" s="478">
        <v>0</v>
      </c>
      <c r="R21" s="474">
        <f t="shared" si="7"/>
        <v>0</v>
      </c>
      <c r="S21" s="478">
        <v>0</v>
      </c>
      <c r="T21" s="474">
        <f t="shared" si="8"/>
        <v>0</v>
      </c>
      <c r="U21" s="473">
        <v>0</v>
      </c>
      <c r="V21" s="474">
        <f t="shared" si="9"/>
        <v>0</v>
      </c>
      <c r="W21" s="478">
        <v>0</v>
      </c>
      <c r="X21" s="474">
        <f t="shared" si="10"/>
        <v>0</v>
      </c>
      <c r="Y21" s="478">
        <v>0</v>
      </c>
    </row>
    <row r="22" spans="1:25" ht="20.100000000000001" customHeight="1">
      <c r="A22" s="477" t="s">
        <v>51</v>
      </c>
      <c r="B22" s="685" t="s">
        <v>1219</v>
      </c>
      <c r="C22" s="685"/>
      <c r="D22" s="476">
        <f>Orçamento!I92</f>
        <v>88783.76</v>
      </c>
      <c r="E22" s="475">
        <f t="shared" si="0"/>
        <v>6.1525268500375103E-2</v>
      </c>
      <c r="F22" s="474">
        <f t="shared" si="4"/>
        <v>0</v>
      </c>
      <c r="G22" s="473">
        <v>0</v>
      </c>
      <c r="H22" s="472">
        <f t="shared" si="1"/>
        <v>17756.752</v>
      </c>
      <c r="I22" s="471">
        <v>0.2</v>
      </c>
      <c r="J22" s="472">
        <f t="shared" si="2"/>
        <v>8878.3760000000002</v>
      </c>
      <c r="K22" s="471">
        <v>0.1</v>
      </c>
      <c r="L22" s="472">
        <f t="shared" si="3"/>
        <v>8878.3760000000002</v>
      </c>
      <c r="M22" s="471">
        <v>0.1</v>
      </c>
      <c r="N22" s="472">
        <f t="shared" si="5"/>
        <v>8878.3760000000002</v>
      </c>
      <c r="O22" s="471">
        <v>0.1</v>
      </c>
      <c r="P22" s="474">
        <f t="shared" si="6"/>
        <v>0</v>
      </c>
      <c r="Q22" s="478">
        <v>0</v>
      </c>
      <c r="R22" s="474">
        <f t="shared" si="7"/>
        <v>0</v>
      </c>
      <c r="S22" s="478">
        <v>0</v>
      </c>
      <c r="T22" s="472">
        <f t="shared" si="8"/>
        <v>35513.504000000001</v>
      </c>
      <c r="U22" s="471">
        <v>0.4</v>
      </c>
      <c r="V22" s="472">
        <f t="shared" si="9"/>
        <v>8878.3760000000002</v>
      </c>
      <c r="W22" s="471">
        <v>0.1</v>
      </c>
      <c r="X22" s="474">
        <f t="shared" si="10"/>
        <v>0</v>
      </c>
      <c r="Y22" s="478">
        <v>0</v>
      </c>
    </row>
    <row r="23" spans="1:25" ht="20.100000000000001" customHeight="1">
      <c r="A23" s="477" t="s">
        <v>66</v>
      </c>
      <c r="B23" s="685" t="s">
        <v>334</v>
      </c>
      <c r="C23" s="685"/>
      <c r="D23" s="476">
        <f>Orçamento!I159</f>
        <v>48793.120000000003</v>
      </c>
      <c r="E23" s="475">
        <f t="shared" si="0"/>
        <v>3.381260051355138E-2</v>
      </c>
      <c r="F23" s="474">
        <f t="shared" si="4"/>
        <v>0</v>
      </c>
      <c r="G23" s="473">
        <v>0</v>
      </c>
      <c r="H23" s="474">
        <f t="shared" si="1"/>
        <v>0</v>
      </c>
      <c r="I23" s="473">
        <v>0</v>
      </c>
      <c r="J23" s="468">
        <f t="shared" si="2"/>
        <v>0</v>
      </c>
      <c r="K23" s="478">
        <v>0</v>
      </c>
      <c r="L23" s="474">
        <f t="shared" si="3"/>
        <v>0</v>
      </c>
      <c r="M23" s="473">
        <v>0</v>
      </c>
      <c r="N23" s="474">
        <f t="shared" si="5"/>
        <v>0</v>
      </c>
      <c r="O23" s="473">
        <v>0</v>
      </c>
      <c r="P23" s="474">
        <f t="shared" si="6"/>
        <v>0</v>
      </c>
      <c r="Q23" s="473">
        <v>0</v>
      </c>
      <c r="R23" s="480">
        <f t="shared" si="7"/>
        <v>9758.6240000000016</v>
      </c>
      <c r="S23" s="481">
        <v>0.2</v>
      </c>
      <c r="T23" s="480">
        <f t="shared" si="8"/>
        <v>19517.248000000003</v>
      </c>
      <c r="U23" s="481">
        <v>0.4</v>
      </c>
      <c r="V23" s="480">
        <f t="shared" si="9"/>
        <v>19517.248000000003</v>
      </c>
      <c r="W23" s="481">
        <v>0.4</v>
      </c>
      <c r="X23" s="474">
        <f t="shared" si="10"/>
        <v>0</v>
      </c>
      <c r="Y23" s="478">
        <v>0</v>
      </c>
    </row>
    <row r="24" spans="1:25" ht="20.100000000000001" customHeight="1">
      <c r="A24" s="477" t="s">
        <v>73</v>
      </c>
      <c r="B24" s="685" t="s">
        <v>1220</v>
      </c>
      <c r="C24" s="685"/>
      <c r="D24" s="476">
        <f>Orçamento!I172</f>
        <v>107644.89</v>
      </c>
      <c r="E24" s="475">
        <f t="shared" si="0"/>
        <v>7.4595632804280235E-2</v>
      </c>
      <c r="F24" s="474">
        <f t="shared" si="4"/>
        <v>0</v>
      </c>
      <c r="G24" s="473">
        <v>0</v>
      </c>
      <c r="H24" s="474">
        <f t="shared" si="1"/>
        <v>0</v>
      </c>
      <c r="I24" s="473">
        <v>0</v>
      </c>
      <c r="J24" s="480">
        <f t="shared" si="2"/>
        <v>21528.978000000003</v>
      </c>
      <c r="K24" s="481">
        <v>0.2</v>
      </c>
      <c r="L24" s="480">
        <f t="shared" si="3"/>
        <v>16146.733499999998</v>
      </c>
      <c r="M24" s="481">
        <v>0.15</v>
      </c>
      <c r="N24" s="480">
        <f t="shared" si="5"/>
        <v>32293.466999999997</v>
      </c>
      <c r="O24" s="481">
        <v>0.3</v>
      </c>
      <c r="P24" s="480">
        <f t="shared" si="6"/>
        <v>26911.2225</v>
      </c>
      <c r="Q24" s="481">
        <v>0.25</v>
      </c>
      <c r="R24" s="474">
        <f t="shared" si="7"/>
        <v>0</v>
      </c>
      <c r="S24" s="473">
        <v>0</v>
      </c>
      <c r="T24" s="474">
        <f t="shared" si="8"/>
        <v>0</v>
      </c>
      <c r="U24" s="473">
        <v>0</v>
      </c>
      <c r="V24" s="480">
        <f t="shared" si="9"/>
        <v>10764.489000000001</v>
      </c>
      <c r="W24" s="481">
        <v>0.1</v>
      </c>
      <c r="X24" s="474">
        <f t="shared" si="10"/>
        <v>0</v>
      </c>
      <c r="Y24" s="478">
        <v>0</v>
      </c>
    </row>
    <row r="25" spans="1:25" ht="20.100000000000001" customHeight="1">
      <c r="A25" s="477" t="s">
        <v>83</v>
      </c>
      <c r="B25" s="685" t="s">
        <v>246</v>
      </c>
      <c r="C25" s="685"/>
      <c r="D25" s="476">
        <f>Orçamento!I213</f>
        <v>112424.75999999998</v>
      </c>
      <c r="E25" s="475">
        <f t="shared" si="0"/>
        <v>7.7907981652165101E-2</v>
      </c>
      <c r="F25" s="474">
        <f t="shared" si="4"/>
        <v>0</v>
      </c>
      <c r="G25" s="473">
        <v>0</v>
      </c>
      <c r="H25" s="474">
        <f t="shared" ref="H25:H30" si="11">I25*D25</f>
        <v>0</v>
      </c>
      <c r="I25" s="473">
        <v>0</v>
      </c>
      <c r="J25" s="474">
        <f t="shared" ref="J25:J30" si="12">K25*D25</f>
        <v>0</v>
      </c>
      <c r="K25" s="473">
        <v>0</v>
      </c>
      <c r="L25" s="474">
        <f t="shared" ref="L25:L30" si="13">M25*D25</f>
        <v>0</v>
      </c>
      <c r="M25" s="473">
        <v>0</v>
      </c>
      <c r="N25" s="474">
        <f t="shared" si="5"/>
        <v>0</v>
      </c>
      <c r="O25" s="473">
        <v>0</v>
      </c>
      <c r="P25" s="474">
        <f t="shared" si="6"/>
        <v>0</v>
      </c>
      <c r="Q25" s="473">
        <v>0</v>
      </c>
      <c r="R25" s="474">
        <f t="shared" si="7"/>
        <v>0</v>
      </c>
      <c r="S25" s="473">
        <v>0</v>
      </c>
      <c r="T25" s="472">
        <f t="shared" si="8"/>
        <v>11242.475999999999</v>
      </c>
      <c r="U25" s="471">
        <v>0.1</v>
      </c>
      <c r="V25" s="472">
        <f t="shared" si="9"/>
        <v>44969.903999999995</v>
      </c>
      <c r="W25" s="471">
        <v>0.4</v>
      </c>
      <c r="X25" s="472">
        <f t="shared" si="10"/>
        <v>56212.37999999999</v>
      </c>
      <c r="Y25" s="471">
        <v>0.5</v>
      </c>
    </row>
    <row r="26" spans="1:25" ht="20.100000000000001" customHeight="1">
      <c r="A26" s="477" t="s">
        <v>87</v>
      </c>
      <c r="B26" s="685" t="s">
        <v>1187</v>
      </c>
      <c r="C26" s="685"/>
      <c r="D26" s="476">
        <f>Orçamento!I223</f>
        <v>36290.240000000013</v>
      </c>
      <c r="E26" s="475">
        <f t="shared" si="0"/>
        <v>2.5148369025405699E-2</v>
      </c>
      <c r="F26" s="474">
        <f t="shared" si="4"/>
        <v>0</v>
      </c>
      <c r="G26" s="473">
        <v>0</v>
      </c>
      <c r="H26" s="474">
        <f t="shared" si="11"/>
        <v>0</v>
      </c>
      <c r="I26" s="473">
        <v>0</v>
      </c>
      <c r="J26" s="474">
        <f t="shared" si="12"/>
        <v>0</v>
      </c>
      <c r="K26" s="473">
        <v>0</v>
      </c>
      <c r="L26" s="472">
        <f t="shared" si="13"/>
        <v>10887.072000000004</v>
      </c>
      <c r="M26" s="471">
        <v>0.3</v>
      </c>
      <c r="N26" s="472">
        <f t="shared" si="5"/>
        <v>14516.096000000005</v>
      </c>
      <c r="O26" s="471">
        <v>0.4</v>
      </c>
      <c r="P26" s="472">
        <f t="shared" si="6"/>
        <v>5443.5360000000019</v>
      </c>
      <c r="Q26" s="471">
        <v>0.15</v>
      </c>
      <c r="R26" s="472">
        <f t="shared" si="7"/>
        <v>3629.0240000000013</v>
      </c>
      <c r="S26" s="471">
        <v>0.1</v>
      </c>
      <c r="T26" s="472">
        <f t="shared" si="8"/>
        <v>1814.5120000000006</v>
      </c>
      <c r="U26" s="471">
        <v>0.05</v>
      </c>
      <c r="V26" s="474">
        <f t="shared" si="9"/>
        <v>0</v>
      </c>
      <c r="W26" s="478">
        <v>0</v>
      </c>
      <c r="X26" s="474">
        <f t="shared" si="10"/>
        <v>0</v>
      </c>
      <c r="Y26" s="478">
        <v>0</v>
      </c>
    </row>
    <row r="27" spans="1:25" ht="20.100000000000001" customHeight="1">
      <c r="A27" s="477" t="s">
        <v>94</v>
      </c>
      <c r="B27" s="685" t="s">
        <v>1221</v>
      </c>
      <c r="C27" s="685"/>
      <c r="D27" s="476">
        <f>Orçamento!I231</f>
        <v>10767.509999999998</v>
      </c>
      <c r="E27" s="475">
        <f t="shared" si="0"/>
        <v>7.4616567695541822E-3</v>
      </c>
      <c r="F27" s="474">
        <f t="shared" si="4"/>
        <v>0</v>
      </c>
      <c r="G27" s="473">
        <v>0</v>
      </c>
      <c r="H27" s="474">
        <f t="shared" si="11"/>
        <v>0</v>
      </c>
      <c r="I27" s="473">
        <v>0</v>
      </c>
      <c r="J27" s="474">
        <f t="shared" si="12"/>
        <v>0</v>
      </c>
      <c r="K27" s="473">
        <v>0</v>
      </c>
      <c r="L27" s="474">
        <f t="shared" si="13"/>
        <v>0</v>
      </c>
      <c r="M27" s="473">
        <v>0</v>
      </c>
      <c r="N27" s="474">
        <f t="shared" si="5"/>
        <v>0</v>
      </c>
      <c r="O27" s="473">
        <v>0</v>
      </c>
      <c r="P27" s="474">
        <f t="shared" si="6"/>
        <v>0</v>
      </c>
      <c r="Q27" s="473">
        <v>0</v>
      </c>
      <c r="R27" s="474">
        <f t="shared" si="7"/>
        <v>0</v>
      </c>
      <c r="S27" s="473">
        <v>0</v>
      </c>
      <c r="T27" s="472">
        <f t="shared" si="8"/>
        <v>2153.502</v>
      </c>
      <c r="U27" s="471">
        <v>0.2</v>
      </c>
      <c r="V27" s="472">
        <f t="shared" si="9"/>
        <v>2153.502</v>
      </c>
      <c r="W27" s="471">
        <v>0.2</v>
      </c>
      <c r="X27" s="472">
        <f t="shared" si="10"/>
        <v>6460.5059999999985</v>
      </c>
      <c r="Y27" s="471">
        <v>0.6</v>
      </c>
    </row>
    <row r="28" spans="1:25" ht="20.100000000000001" customHeight="1">
      <c r="A28" s="477" t="s">
        <v>1186</v>
      </c>
      <c r="B28" s="685" t="s">
        <v>1222</v>
      </c>
      <c r="C28" s="685"/>
      <c r="D28" s="476">
        <f>Orçamento!I242</f>
        <v>202810.48</v>
      </c>
      <c r="E28" s="475">
        <f t="shared" si="0"/>
        <v>0.14054337456185631</v>
      </c>
      <c r="F28" s="474">
        <f t="shared" si="4"/>
        <v>0</v>
      </c>
      <c r="G28" s="473">
        <v>0</v>
      </c>
      <c r="H28" s="474">
        <f t="shared" si="11"/>
        <v>0</v>
      </c>
      <c r="I28" s="473">
        <v>0</v>
      </c>
      <c r="J28" s="474">
        <f t="shared" si="12"/>
        <v>0</v>
      </c>
      <c r="K28" s="473">
        <v>0</v>
      </c>
      <c r="L28" s="474">
        <f t="shared" si="13"/>
        <v>0</v>
      </c>
      <c r="M28" s="473">
        <v>0</v>
      </c>
      <c r="N28" s="474">
        <f t="shared" si="5"/>
        <v>0</v>
      </c>
      <c r="O28" s="473">
        <v>0</v>
      </c>
      <c r="P28" s="474">
        <f t="shared" si="6"/>
        <v>0</v>
      </c>
      <c r="Q28" s="473">
        <v>0</v>
      </c>
      <c r="R28" s="474">
        <f t="shared" si="7"/>
        <v>0</v>
      </c>
      <c r="S28" s="473">
        <v>0</v>
      </c>
      <c r="T28" s="472">
        <f t="shared" si="8"/>
        <v>40562.096000000005</v>
      </c>
      <c r="U28" s="471">
        <v>0.2</v>
      </c>
      <c r="V28" s="472">
        <f t="shared" si="9"/>
        <v>60843.144</v>
      </c>
      <c r="W28" s="471">
        <v>0.3</v>
      </c>
      <c r="X28" s="472">
        <f t="shared" si="10"/>
        <v>101405.24</v>
      </c>
      <c r="Y28" s="471">
        <v>0.5</v>
      </c>
    </row>
    <row r="29" spans="1:25" ht="20.100000000000001" customHeight="1">
      <c r="A29" s="477" t="s">
        <v>102</v>
      </c>
      <c r="B29" s="685" t="s">
        <v>1223</v>
      </c>
      <c r="C29" s="685"/>
      <c r="D29" s="476">
        <f>Orçamento!I274</f>
        <v>7144.77</v>
      </c>
      <c r="E29" s="475">
        <f t="shared" si="0"/>
        <v>4.951174546149263E-3</v>
      </c>
      <c r="F29" s="474">
        <f t="shared" si="4"/>
        <v>0</v>
      </c>
      <c r="G29" s="473">
        <v>0</v>
      </c>
      <c r="H29" s="474">
        <f t="shared" si="11"/>
        <v>0</v>
      </c>
      <c r="I29" s="473">
        <v>0</v>
      </c>
      <c r="J29" s="474">
        <f t="shared" si="12"/>
        <v>0</v>
      </c>
      <c r="K29" s="473">
        <v>0</v>
      </c>
      <c r="L29" s="474">
        <f t="shared" si="13"/>
        <v>0</v>
      </c>
      <c r="M29" s="473">
        <v>0</v>
      </c>
      <c r="N29" s="474">
        <f t="shared" si="5"/>
        <v>0</v>
      </c>
      <c r="O29" s="473">
        <v>0</v>
      </c>
      <c r="P29" s="474">
        <f t="shared" si="6"/>
        <v>0</v>
      </c>
      <c r="Q29" s="473">
        <v>0</v>
      </c>
      <c r="R29" s="474">
        <f t="shared" si="7"/>
        <v>0</v>
      </c>
      <c r="S29" s="473">
        <v>0</v>
      </c>
      <c r="T29" s="474">
        <f t="shared" si="8"/>
        <v>0</v>
      </c>
      <c r="U29" s="473">
        <v>0</v>
      </c>
      <c r="V29" s="474">
        <f t="shared" si="9"/>
        <v>0</v>
      </c>
      <c r="W29" s="478">
        <v>0</v>
      </c>
      <c r="X29" s="472">
        <f t="shared" si="10"/>
        <v>7144.77</v>
      </c>
      <c r="Y29" s="471">
        <v>1</v>
      </c>
    </row>
    <row r="30" spans="1:25" ht="20.100000000000001" customHeight="1">
      <c r="A30" s="477" t="s">
        <v>554</v>
      </c>
      <c r="B30" s="685" t="s">
        <v>1224</v>
      </c>
      <c r="C30" s="685"/>
      <c r="D30" s="476">
        <f>Orçamento!I272</f>
        <v>1950.62</v>
      </c>
      <c r="E30" s="475">
        <f t="shared" si="0"/>
        <v>1.3517384175011475E-3</v>
      </c>
      <c r="F30" s="474">
        <f t="shared" si="4"/>
        <v>0</v>
      </c>
      <c r="G30" s="473">
        <v>0</v>
      </c>
      <c r="H30" s="474">
        <f t="shared" si="11"/>
        <v>0</v>
      </c>
      <c r="I30" s="473">
        <v>0</v>
      </c>
      <c r="J30" s="474">
        <f t="shared" si="12"/>
        <v>0</v>
      </c>
      <c r="K30" s="473">
        <v>0</v>
      </c>
      <c r="L30" s="474">
        <f t="shared" si="13"/>
        <v>0</v>
      </c>
      <c r="M30" s="473">
        <v>0</v>
      </c>
      <c r="N30" s="474">
        <f t="shared" si="5"/>
        <v>0</v>
      </c>
      <c r="O30" s="473">
        <v>0</v>
      </c>
      <c r="P30" s="474">
        <f t="shared" si="6"/>
        <v>0</v>
      </c>
      <c r="Q30" s="473">
        <v>0</v>
      </c>
      <c r="R30" s="474">
        <f t="shared" si="7"/>
        <v>0</v>
      </c>
      <c r="S30" s="473">
        <v>0</v>
      </c>
      <c r="T30" s="474">
        <f t="shared" si="8"/>
        <v>0</v>
      </c>
      <c r="U30" s="473">
        <v>0</v>
      </c>
      <c r="V30" s="474">
        <f t="shared" si="9"/>
        <v>0</v>
      </c>
      <c r="W30" s="478">
        <v>0</v>
      </c>
      <c r="X30" s="472">
        <f t="shared" si="10"/>
        <v>1950.62</v>
      </c>
      <c r="Y30" s="471">
        <v>1</v>
      </c>
    </row>
    <row r="31" spans="1:25" ht="20.100000000000001" customHeight="1">
      <c r="A31" s="709" t="s">
        <v>1185</v>
      </c>
      <c r="B31" s="709"/>
      <c r="C31" s="709"/>
      <c r="D31" s="470">
        <f>SUM(D13:D30)</f>
        <v>1443045.4700000002</v>
      </c>
      <c r="E31" s="475">
        <f t="shared" si="0"/>
        <v>1</v>
      </c>
      <c r="F31" s="468">
        <f>SUM(F13:F30)</f>
        <v>228462.89100000003</v>
      </c>
      <c r="G31" s="469">
        <f>F31/D32</f>
        <v>0.15831995300882654</v>
      </c>
      <c r="H31" s="468">
        <f>SUM(H13:H30)</f>
        <v>125227.53800000003</v>
      </c>
      <c r="I31" s="467">
        <f>H31/D32</f>
        <v>8.6780036113484366E-2</v>
      </c>
      <c r="J31" s="468">
        <f>SUM(J13:J30)</f>
        <v>148939.31400000001</v>
      </c>
      <c r="K31" s="467">
        <f>J31/D32</f>
        <v>0.10321179553683779</v>
      </c>
      <c r="L31" s="468">
        <f>SUM(L13:L30)</f>
        <v>132934.89500000002</v>
      </c>
      <c r="M31" s="467">
        <f>L31/D32</f>
        <v>9.2121071555700873E-2</v>
      </c>
      <c r="N31" s="468">
        <f>SUM(N13:N30)</f>
        <v>137321.6715</v>
      </c>
      <c r="O31" s="467">
        <f>N31/D32</f>
        <v>9.5161014919370471E-2</v>
      </c>
      <c r="P31" s="468">
        <f>SUM(P13:P30)</f>
        <v>117362.22850000003</v>
      </c>
      <c r="Q31" s="467">
        <f>P31/D32</f>
        <v>8.1329542928401291E-2</v>
      </c>
      <c r="R31" s="468">
        <f>SUM(R13:R30)</f>
        <v>97383.935000000012</v>
      </c>
      <c r="S31" s="467">
        <f>R31/D32</f>
        <v>6.7485007939493413E-2</v>
      </c>
      <c r="T31" s="468">
        <f>SUM(T13:T30)</f>
        <v>129576.17450000001</v>
      </c>
      <c r="U31" s="467">
        <f>T31/D32</f>
        <v>8.9793549263558536E-2</v>
      </c>
      <c r="V31" s="468">
        <f>SUM(V13:V30)</f>
        <v>152663.30650000001</v>
      </c>
      <c r="W31" s="467">
        <f>V31/D32</f>
        <v>0.10579244360193306</v>
      </c>
      <c r="X31" s="468">
        <f>SUM(X13:X30)+0.01</f>
        <v>173173.52599999998</v>
      </c>
      <c r="Y31" s="467">
        <f>X31/D32</f>
        <v>0.12000559206218218</v>
      </c>
    </row>
    <row r="32" spans="1:25" ht="20.100000000000001" customHeight="1">
      <c r="A32" s="710" t="s">
        <v>1184</v>
      </c>
      <c r="B32" s="710"/>
      <c r="C32" s="710"/>
      <c r="D32" s="466">
        <f>D31</f>
        <v>1443045.4700000002</v>
      </c>
      <c r="E32" s="465"/>
      <c r="F32" s="463">
        <f>F31</f>
        <v>228462.89100000003</v>
      </c>
      <c r="G32" s="464">
        <f>G31</f>
        <v>0.15831995300882654</v>
      </c>
      <c r="H32" s="463">
        <f t="shared" ref="H32:W32" si="14">H31+F32</f>
        <v>353690.42900000006</v>
      </c>
      <c r="I32" s="462">
        <f t="shared" si="14"/>
        <v>0.2450999891223109</v>
      </c>
      <c r="J32" s="463">
        <f t="shared" si="14"/>
        <v>502629.74300000007</v>
      </c>
      <c r="K32" s="462">
        <f t="shared" si="14"/>
        <v>0.34831178465914869</v>
      </c>
      <c r="L32" s="463">
        <f t="shared" si="14"/>
        <v>635564.63800000004</v>
      </c>
      <c r="M32" s="462">
        <f t="shared" si="14"/>
        <v>0.44043285621484957</v>
      </c>
      <c r="N32" s="463">
        <f t="shared" si="14"/>
        <v>772886.30949999997</v>
      </c>
      <c r="O32" s="462">
        <f t="shared" si="14"/>
        <v>0.53559387113422008</v>
      </c>
      <c r="P32" s="463">
        <f t="shared" si="14"/>
        <v>890248.53799999994</v>
      </c>
      <c r="Q32" s="462">
        <f t="shared" si="14"/>
        <v>0.61692341406262141</v>
      </c>
      <c r="R32" s="463">
        <f t="shared" si="14"/>
        <v>987632.473</v>
      </c>
      <c r="S32" s="462">
        <f t="shared" si="14"/>
        <v>0.68440842200211482</v>
      </c>
      <c r="T32" s="463">
        <f t="shared" si="14"/>
        <v>1117208.6475</v>
      </c>
      <c r="U32" s="462">
        <f t="shared" si="14"/>
        <v>0.77420197126567336</v>
      </c>
      <c r="V32" s="463">
        <f t="shared" si="14"/>
        <v>1269871.9539999999</v>
      </c>
      <c r="W32" s="462">
        <f t="shared" si="14"/>
        <v>0.87999441486760643</v>
      </c>
      <c r="X32" s="463">
        <f>X31+V32-0.01</f>
        <v>1443045.47</v>
      </c>
      <c r="Y32" s="462">
        <f>Y31+W32</f>
        <v>1.0000000069297885</v>
      </c>
    </row>
    <row r="33" spans="1:25" ht="17.25" customHeight="1">
      <c r="A33" s="705" t="s">
        <v>1183</v>
      </c>
      <c r="B33" s="706"/>
      <c r="C33" s="706"/>
      <c r="D33" s="706"/>
      <c r="E33" s="706"/>
      <c r="F33" s="450"/>
      <c r="G33" s="459"/>
      <c r="H33" s="451"/>
      <c r="I33" s="451"/>
      <c r="J33" s="451"/>
      <c r="K33" s="451"/>
      <c r="L33" s="451"/>
      <c r="M33" s="451"/>
      <c r="N33" s="451"/>
      <c r="O33" s="451"/>
      <c r="P33" s="451"/>
      <c r="Q33" s="451"/>
      <c r="R33" s="451"/>
      <c r="S33" s="451"/>
      <c r="T33" s="451"/>
      <c r="U33" s="451"/>
      <c r="V33" s="451"/>
      <c r="W33" s="451"/>
      <c r="X33" s="451"/>
      <c r="Y33" s="548"/>
    </row>
    <row r="34" spans="1:25" ht="17.25" customHeight="1">
      <c r="A34" s="705" t="s">
        <v>1225</v>
      </c>
      <c r="B34" s="706"/>
      <c r="C34" s="706"/>
      <c r="D34" s="706"/>
      <c r="E34" s="706"/>
      <c r="F34" s="450"/>
      <c r="G34" s="459"/>
      <c r="H34" s="451"/>
      <c r="I34" s="451"/>
      <c r="J34" s="451"/>
      <c r="K34" s="451"/>
      <c r="L34" s="451"/>
      <c r="M34" s="451"/>
      <c r="N34" s="451"/>
      <c r="O34" s="451"/>
      <c r="P34" s="451"/>
      <c r="Q34" s="451"/>
      <c r="R34" s="451"/>
      <c r="S34" s="451"/>
      <c r="T34" s="451"/>
      <c r="U34" s="451"/>
      <c r="V34" s="451"/>
      <c r="W34" s="451"/>
      <c r="X34" s="451"/>
      <c r="Y34" s="548"/>
    </row>
    <row r="35" spans="1:25" ht="16.5">
      <c r="A35" s="550"/>
      <c r="B35" s="540"/>
      <c r="C35" s="540"/>
      <c r="D35" s="450"/>
      <c r="E35" s="460"/>
      <c r="F35" s="450"/>
      <c r="G35" s="459"/>
      <c r="H35" s="451"/>
      <c r="I35" s="451"/>
      <c r="J35" s="451"/>
      <c r="K35" s="451"/>
      <c r="L35" s="451"/>
      <c r="M35" s="451"/>
      <c r="N35" s="451"/>
      <c r="O35" s="451"/>
      <c r="P35" s="451"/>
      <c r="Q35" s="451"/>
      <c r="R35" s="451"/>
      <c r="S35" s="451"/>
      <c r="T35" s="451"/>
      <c r="U35" s="451"/>
      <c r="V35" s="451"/>
      <c r="W35" s="451"/>
      <c r="X35" s="451"/>
      <c r="Y35" s="548"/>
    </row>
    <row r="36" spans="1:25" ht="16.5">
      <c r="A36" s="550"/>
      <c r="B36" s="540"/>
      <c r="C36" s="540"/>
      <c r="D36" s="450"/>
      <c r="E36" s="460"/>
      <c r="F36" s="450"/>
      <c r="G36" s="459"/>
      <c r="H36" s="451"/>
      <c r="I36" s="451"/>
      <c r="J36" s="451"/>
      <c r="K36" s="451"/>
      <c r="L36" s="451"/>
      <c r="M36" s="451"/>
      <c r="N36" s="451"/>
      <c r="O36" s="451"/>
      <c r="P36" s="451"/>
      <c r="Q36" s="451"/>
      <c r="R36" s="451"/>
      <c r="S36" s="451"/>
      <c r="T36" s="451"/>
      <c r="U36" s="451"/>
      <c r="V36" s="451"/>
      <c r="W36" s="451"/>
      <c r="X36" s="451"/>
      <c r="Y36" s="548"/>
    </row>
    <row r="37" spans="1:25" ht="16.5">
      <c r="A37" s="550"/>
      <c r="B37" s="540"/>
      <c r="C37" s="540"/>
      <c r="D37" s="450"/>
      <c r="E37" s="460"/>
      <c r="F37" s="450"/>
      <c r="G37" s="459"/>
      <c r="H37" s="451"/>
      <c r="I37" s="451"/>
      <c r="J37" s="451"/>
      <c r="K37" s="451"/>
      <c r="L37" s="451"/>
      <c r="M37" s="451"/>
      <c r="N37" s="451"/>
      <c r="O37" s="451"/>
      <c r="P37" s="451"/>
      <c r="Q37" s="451"/>
      <c r="R37" s="451"/>
      <c r="S37" s="451"/>
      <c r="T37" s="451"/>
      <c r="U37" s="451"/>
      <c r="V37" s="451"/>
      <c r="W37" s="451"/>
      <c r="X37" s="451"/>
      <c r="Y37" s="548"/>
    </row>
    <row r="38" spans="1:25" ht="20.25">
      <c r="A38" s="551"/>
      <c r="B38" s="541"/>
      <c r="C38" s="541"/>
      <c r="D38" s="450"/>
      <c r="E38" s="460"/>
      <c r="F38" s="450"/>
      <c r="G38" s="459"/>
      <c r="H38" s="451"/>
      <c r="I38" s="702" t="s">
        <v>1227</v>
      </c>
      <c r="J38" s="702"/>
      <c r="K38" s="702"/>
      <c r="L38" s="702"/>
      <c r="M38" s="702"/>
      <c r="N38" s="702"/>
      <c r="O38" s="702"/>
      <c r="P38" s="702"/>
      <c r="Q38" s="702"/>
      <c r="R38" s="702"/>
      <c r="S38" s="702"/>
      <c r="T38" s="702"/>
      <c r="U38" s="702"/>
      <c r="V38" s="702"/>
      <c r="W38" s="702"/>
      <c r="X38" s="702"/>
      <c r="Y38" s="703"/>
    </row>
    <row r="39" spans="1:25" ht="15.75">
      <c r="A39" s="551"/>
      <c r="B39" s="541"/>
      <c r="C39" s="541"/>
      <c r="D39" s="450"/>
      <c r="E39" s="460"/>
      <c r="F39" s="450"/>
      <c r="G39" s="459"/>
      <c r="H39" s="451"/>
      <c r="I39" s="542"/>
      <c r="J39" s="542"/>
      <c r="K39" s="542"/>
      <c r="L39" s="542"/>
      <c r="M39" s="542"/>
      <c r="N39" s="542"/>
      <c r="O39" s="542"/>
      <c r="P39" s="542"/>
      <c r="Q39" s="542"/>
      <c r="R39" s="542"/>
      <c r="S39" s="542"/>
      <c r="T39" s="542"/>
      <c r="U39" s="542"/>
      <c r="V39" s="542"/>
      <c r="W39" s="542"/>
      <c r="X39" s="542"/>
      <c r="Y39" s="552"/>
    </row>
    <row r="40" spans="1:25" ht="15.75" customHeight="1">
      <c r="A40" s="682" t="s">
        <v>1120</v>
      </c>
      <c r="B40" s="683"/>
      <c r="C40" s="683"/>
      <c r="D40" s="683"/>
      <c r="E40" s="683"/>
      <c r="F40" s="683"/>
      <c r="G40" s="683"/>
      <c r="H40" s="683"/>
      <c r="I40" s="683"/>
      <c r="J40" s="683"/>
      <c r="K40" s="683"/>
      <c r="L40" s="683"/>
      <c r="M40" s="683"/>
      <c r="N40" s="683"/>
      <c r="O40" s="683"/>
      <c r="P40" s="683"/>
      <c r="Q40" s="683"/>
      <c r="R40" s="683"/>
      <c r="S40" s="683"/>
      <c r="T40" s="683"/>
      <c r="U40" s="683"/>
      <c r="V40" s="683"/>
      <c r="W40" s="683"/>
      <c r="X40" s="683"/>
      <c r="Y40" s="684"/>
    </row>
    <row r="41" spans="1:25" ht="15" customHeight="1">
      <c r="A41" s="682" t="s">
        <v>106</v>
      </c>
      <c r="B41" s="683"/>
      <c r="C41" s="683"/>
      <c r="D41" s="683"/>
      <c r="E41" s="683"/>
      <c r="F41" s="683"/>
      <c r="G41" s="683"/>
      <c r="H41" s="683"/>
      <c r="I41" s="683"/>
      <c r="J41" s="683"/>
      <c r="K41" s="683"/>
      <c r="L41" s="683"/>
      <c r="M41" s="683"/>
      <c r="N41" s="683"/>
      <c r="O41" s="683"/>
      <c r="P41" s="683"/>
      <c r="Q41" s="683"/>
      <c r="R41" s="683"/>
      <c r="S41" s="683"/>
      <c r="T41" s="683"/>
      <c r="U41" s="683"/>
      <c r="V41" s="683"/>
      <c r="W41" s="683"/>
      <c r="X41" s="683"/>
      <c r="Y41" s="684"/>
    </row>
    <row r="42" spans="1:25" ht="15" customHeight="1">
      <c r="A42" s="682" t="s">
        <v>1121</v>
      </c>
      <c r="B42" s="683"/>
      <c r="C42" s="683"/>
      <c r="D42" s="683"/>
      <c r="E42" s="683"/>
      <c r="F42" s="683"/>
      <c r="G42" s="683"/>
      <c r="H42" s="683"/>
      <c r="I42" s="683"/>
      <c r="J42" s="683"/>
      <c r="K42" s="683"/>
      <c r="L42" s="683"/>
      <c r="M42" s="683"/>
      <c r="N42" s="683"/>
      <c r="O42" s="683"/>
      <c r="P42" s="683"/>
      <c r="Q42" s="683"/>
      <c r="R42" s="683"/>
      <c r="S42" s="683"/>
      <c r="T42" s="683"/>
      <c r="U42" s="683"/>
      <c r="V42" s="683"/>
      <c r="W42" s="683"/>
      <c r="X42" s="683"/>
      <c r="Y42" s="684"/>
    </row>
    <row r="43" spans="1:25">
      <c r="A43" s="553"/>
      <c r="B43" s="554"/>
      <c r="C43" s="554"/>
      <c r="D43" s="555"/>
      <c r="E43" s="556"/>
      <c r="F43" s="555"/>
      <c r="G43" s="557"/>
      <c r="H43" s="558"/>
      <c r="I43" s="558"/>
      <c r="J43" s="558"/>
      <c r="K43" s="558"/>
      <c r="L43" s="558"/>
      <c r="M43" s="558"/>
      <c r="N43" s="558"/>
      <c r="O43" s="558"/>
      <c r="P43" s="558"/>
      <c r="Q43" s="558"/>
      <c r="R43" s="558"/>
      <c r="S43" s="558"/>
      <c r="T43" s="558"/>
      <c r="U43" s="558"/>
      <c r="V43" s="558"/>
      <c r="W43" s="558"/>
      <c r="X43" s="558"/>
      <c r="Y43" s="559"/>
    </row>
    <row r="44" spans="1:25">
      <c r="B44" s="461"/>
      <c r="C44" s="461"/>
      <c r="D44" s="450"/>
      <c r="E44" s="460"/>
      <c r="F44" s="450"/>
      <c r="G44" s="459"/>
    </row>
    <row r="45" spans="1:25">
      <c r="B45" s="461"/>
      <c r="C45" s="461"/>
      <c r="D45" s="450"/>
      <c r="E45" s="460"/>
      <c r="F45" s="450"/>
      <c r="G45" s="459"/>
    </row>
    <row r="46" spans="1:25">
      <c r="B46" s="461"/>
      <c r="C46" s="461"/>
      <c r="D46" s="450"/>
      <c r="E46" s="460"/>
      <c r="F46" s="450"/>
      <c r="G46" s="459"/>
    </row>
    <row r="47" spans="1:25">
      <c r="B47" s="461"/>
      <c r="C47" s="461"/>
      <c r="D47" s="450"/>
      <c r="E47" s="460"/>
      <c r="F47" s="450"/>
      <c r="G47" s="459"/>
    </row>
    <row r="48" spans="1:25">
      <c r="B48" s="461"/>
      <c r="C48" s="461"/>
      <c r="D48" s="450"/>
      <c r="E48" s="460"/>
      <c r="F48" s="450"/>
      <c r="G48" s="459"/>
    </row>
    <row r="49" spans="1:25">
      <c r="B49" s="461"/>
      <c r="C49" s="461"/>
      <c r="D49" s="450"/>
      <c r="E49" s="460"/>
      <c r="F49" s="450"/>
      <c r="G49" s="459"/>
    </row>
    <row r="50" spans="1:25">
      <c r="B50" s="461"/>
      <c r="C50" s="461"/>
      <c r="D50" s="450"/>
      <c r="E50" s="460"/>
      <c r="F50" s="450"/>
      <c r="G50" s="459"/>
    </row>
    <row r="51" spans="1:25" ht="16.5">
      <c r="G51" s="453"/>
      <c r="X51" s="708"/>
      <c r="Y51" s="708"/>
    </row>
    <row r="52" spans="1:25">
      <c r="B52" s="458"/>
      <c r="F52" s="448"/>
    </row>
    <row r="53" spans="1:25" ht="18">
      <c r="A53" s="704"/>
      <c r="B53" s="704"/>
      <c r="C53" s="704"/>
      <c r="D53" s="704"/>
      <c r="E53" s="704"/>
      <c r="F53" s="704"/>
      <c r="G53" s="704"/>
      <c r="H53" s="704"/>
      <c r="I53" s="704"/>
      <c r="J53" s="704"/>
      <c r="K53" s="704"/>
      <c r="L53" s="704"/>
      <c r="M53" s="704"/>
      <c r="N53" s="704"/>
      <c r="O53" s="704"/>
      <c r="P53" s="704"/>
      <c r="Q53" s="704"/>
      <c r="R53" s="704"/>
      <c r="S53" s="704"/>
      <c r="T53" s="704"/>
      <c r="U53" s="704"/>
      <c r="V53" s="704"/>
      <c r="W53" s="704"/>
      <c r="X53" s="704"/>
      <c r="Y53" s="704"/>
    </row>
    <row r="54" spans="1:25" ht="16.5">
      <c r="A54" s="701"/>
      <c r="B54" s="701"/>
      <c r="C54" s="701"/>
      <c r="D54" s="701"/>
      <c r="E54" s="701"/>
      <c r="F54" s="701"/>
      <c r="G54" s="701"/>
      <c r="H54" s="701"/>
      <c r="I54" s="701"/>
      <c r="J54" s="701"/>
      <c r="K54" s="701"/>
      <c r="L54" s="701"/>
      <c r="M54" s="701"/>
      <c r="N54" s="701"/>
      <c r="O54" s="701"/>
      <c r="P54" s="701"/>
      <c r="Q54" s="701"/>
      <c r="R54" s="701"/>
      <c r="S54" s="701"/>
      <c r="T54" s="701"/>
      <c r="U54" s="701"/>
      <c r="V54" s="701"/>
      <c r="W54" s="701"/>
      <c r="X54" s="701"/>
      <c r="Y54" s="701"/>
    </row>
    <row r="55" spans="1:25">
      <c r="B55" s="458"/>
      <c r="F55" s="448"/>
    </row>
    <row r="56" spans="1:25">
      <c r="B56" s="458"/>
      <c r="F56" s="448"/>
    </row>
    <row r="57" spans="1:25">
      <c r="B57" s="458"/>
      <c r="F57" s="448"/>
    </row>
    <row r="58" spans="1:25">
      <c r="B58" s="458"/>
      <c r="F58" s="448"/>
    </row>
    <row r="59" spans="1:25" ht="15.75">
      <c r="A59" s="700"/>
      <c r="B59" s="700"/>
      <c r="C59" s="700"/>
      <c r="D59" s="700"/>
      <c r="E59" s="700"/>
      <c r="F59" s="700"/>
      <c r="G59" s="700"/>
      <c r="H59" s="700"/>
      <c r="I59" s="700"/>
      <c r="J59" s="700"/>
      <c r="K59" s="700"/>
      <c r="L59" s="700"/>
      <c r="M59" s="700"/>
      <c r="N59" s="700"/>
      <c r="O59" s="700"/>
      <c r="P59" s="700"/>
      <c r="Q59" s="700"/>
      <c r="R59" s="700"/>
      <c r="S59" s="700"/>
      <c r="T59" s="700"/>
      <c r="U59" s="700"/>
      <c r="V59" s="700"/>
      <c r="W59" s="700"/>
      <c r="X59" s="700"/>
      <c r="Y59" s="700"/>
    </row>
    <row r="60" spans="1:25" ht="16.5">
      <c r="A60" s="699"/>
      <c r="B60" s="699"/>
      <c r="C60" s="699"/>
      <c r="D60" s="699"/>
      <c r="E60" s="699"/>
      <c r="F60" s="699"/>
      <c r="G60" s="699"/>
      <c r="H60" s="699"/>
      <c r="I60" s="699"/>
      <c r="J60" s="699"/>
      <c r="K60" s="699"/>
      <c r="L60" s="699"/>
      <c r="M60" s="699"/>
      <c r="N60" s="699"/>
      <c r="O60" s="699"/>
      <c r="P60" s="699"/>
      <c r="Q60" s="699"/>
      <c r="R60" s="699"/>
      <c r="S60" s="699"/>
      <c r="T60" s="699"/>
      <c r="U60" s="699"/>
      <c r="V60" s="699"/>
      <c r="W60" s="699"/>
      <c r="X60" s="699"/>
      <c r="Y60" s="699"/>
    </row>
    <row r="61" spans="1:25" ht="16.5">
      <c r="A61" s="699"/>
      <c r="B61" s="699"/>
      <c r="C61" s="699"/>
      <c r="D61" s="699"/>
      <c r="E61" s="699"/>
      <c r="F61" s="699"/>
      <c r="G61" s="699"/>
      <c r="H61" s="699"/>
      <c r="I61" s="699"/>
      <c r="J61" s="699"/>
      <c r="K61" s="699"/>
      <c r="L61" s="699"/>
      <c r="M61" s="699"/>
      <c r="N61" s="699"/>
      <c r="O61" s="699"/>
      <c r="P61" s="699"/>
      <c r="Q61" s="699"/>
      <c r="R61" s="699"/>
      <c r="S61" s="699"/>
      <c r="T61" s="699"/>
      <c r="U61" s="699"/>
      <c r="V61" s="699"/>
      <c r="W61" s="699"/>
      <c r="X61" s="699"/>
      <c r="Y61" s="699"/>
    </row>
    <row r="62" spans="1:25">
      <c r="B62" s="458"/>
      <c r="F62" s="448"/>
    </row>
    <row r="63" spans="1:25">
      <c r="A63" s="698"/>
      <c r="B63" s="698"/>
      <c r="C63" s="698"/>
      <c r="D63" s="698"/>
      <c r="E63" s="698"/>
      <c r="F63" s="698"/>
      <c r="G63" s="698"/>
      <c r="H63" s="698"/>
      <c r="I63" s="698"/>
      <c r="J63" s="698"/>
      <c r="K63" s="698"/>
      <c r="L63" s="698"/>
      <c r="M63" s="698"/>
      <c r="N63" s="698"/>
      <c r="O63" s="698"/>
      <c r="P63" s="698"/>
      <c r="Q63" s="698"/>
      <c r="R63" s="698"/>
      <c r="S63" s="698"/>
      <c r="T63" s="698"/>
      <c r="U63" s="698"/>
      <c r="V63" s="698"/>
      <c r="W63" s="698"/>
      <c r="X63" s="698"/>
      <c r="Y63" s="698"/>
    </row>
    <row r="64" spans="1:25">
      <c r="A64" s="698"/>
      <c r="B64" s="698"/>
      <c r="C64" s="698"/>
      <c r="D64" s="698"/>
      <c r="E64" s="698"/>
      <c r="F64" s="698"/>
      <c r="G64" s="698"/>
      <c r="H64" s="698"/>
      <c r="I64" s="698"/>
      <c r="J64" s="698"/>
      <c r="K64" s="698"/>
      <c r="L64" s="698"/>
      <c r="M64" s="698"/>
      <c r="N64" s="698"/>
      <c r="O64" s="698"/>
      <c r="P64" s="698"/>
      <c r="Q64" s="698"/>
      <c r="R64" s="698"/>
      <c r="S64" s="698"/>
      <c r="T64" s="698"/>
      <c r="U64" s="698"/>
      <c r="V64" s="698"/>
      <c r="W64" s="698"/>
      <c r="X64" s="698"/>
      <c r="Y64" s="698"/>
    </row>
    <row r="65" spans="1:8">
      <c r="B65" s="458"/>
      <c r="F65" s="448"/>
    </row>
    <row r="66" spans="1:8">
      <c r="B66" s="458"/>
      <c r="F66" s="448"/>
    </row>
    <row r="67" spans="1:8">
      <c r="A67" s="452"/>
      <c r="B67" s="452"/>
      <c r="C67" s="452"/>
      <c r="D67" s="452"/>
      <c r="E67" s="452"/>
      <c r="F67" s="452"/>
      <c r="G67" s="452"/>
    </row>
    <row r="68" spans="1:8" ht="15">
      <c r="B68" s="457"/>
      <c r="C68" s="457"/>
      <c r="D68" s="457"/>
      <c r="E68" s="457"/>
      <c r="F68" s="456"/>
      <c r="G68" s="457"/>
      <c r="H68" s="456"/>
    </row>
    <row r="69" spans="1:8">
      <c r="B69" s="455"/>
      <c r="C69" s="455"/>
      <c r="D69" s="455"/>
      <c r="E69" s="455"/>
      <c r="F69" s="455"/>
      <c r="G69" s="455"/>
      <c r="H69" s="455"/>
    </row>
    <row r="70" spans="1:8">
      <c r="B70" s="454"/>
      <c r="C70" s="454"/>
      <c r="D70" s="454"/>
      <c r="E70" s="454"/>
      <c r="F70" s="454"/>
      <c r="G70" s="454"/>
      <c r="H70" s="454"/>
    </row>
    <row r="71" spans="1:8">
      <c r="A71" s="453"/>
      <c r="B71" s="453"/>
      <c r="C71" s="453"/>
      <c r="D71" s="453"/>
      <c r="E71" s="453"/>
      <c r="F71" s="453"/>
      <c r="G71" s="453"/>
    </row>
    <row r="72" spans="1:8">
      <c r="A72" s="452"/>
      <c r="B72" s="452"/>
      <c r="C72" s="452"/>
      <c r="D72" s="452"/>
      <c r="E72" s="452"/>
      <c r="F72" s="452"/>
      <c r="G72" s="452"/>
    </row>
    <row r="73" spans="1:8">
      <c r="B73" s="451"/>
      <c r="C73" s="451"/>
      <c r="D73" s="451"/>
      <c r="E73" s="451"/>
      <c r="F73" s="450"/>
      <c r="G73" s="450"/>
    </row>
    <row r="74" spans="1:8">
      <c r="B74" s="451"/>
      <c r="C74" s="451"/>
      <c r="D74" s="451"/>
      <c r="E74" s="451"/>
      <c r="F74" s="450"/>
      <c r="G74" s="450"/>
    </row>
  </sheetData>
  <mergeCells count="56">
    <mergeCell ref="B15:C15"/>
    <mergeCell ref="D11:D12"/>
    <mergeCell ref="B19:C19"/>
    <mergeCell ref="A31:C31"/>
    <mergeCell ref="A32:C32"/>
    <mergeCell ref="B18:C18"/>
    <mergeCell ref="B25:C25"/>
    <mergeCell ref="B26:C26"/>
    <mergeCell ref="B28:C28"/>
    <mergeCell ref="B29:C29"/>
    <mergeCell ref="B30:C30"/>
    <mergeCell ref="A53:Y53"/>
    <mergeCell ref="T12:U12"/>
    <mergeCell ref="R12:S12"/>
    <mergeCell ref="H12:I12"/>
    <mergeCell ref="J12:K12"/>
    <mergeCell ref="A34:E34"/>
    <mergeCell ref="A11:A12"/>
    <mergeCell ref="B13:C13"/>
    <mergeCell ref="B20:C20"/>
    <mergeCell ref="X51:Y51"/>
    <mergeCell ref="N11:Y11"/>
    <mergeCell ref="P12:Q12"/>
    <mergeCell ref="B11:C12"/>
    <mergeCell ref="F12:G12"/>
    <mergeCell ref="B14:C14"/>
    <mergeCell ref="A33:E33"/>
    <mergeCell ref="A64:Y64"/>
    <mergeCell ref="A60:Y60"/>
    <mergeCell ref="A59:Y59"/>
    <mergeCell ref="A61:Y61"/>
    <mergeCell ref="A54:Y54"/>
    <mergeCell ref="A63:Y63"/>
    <mergeCell ref="X12:Y12"/>
    <mergeCell ref="L12:M12"/>
    <mergeCell ref="E11:E12"/>
    <mergeCell ref="C1:F1"/>
    <mergeCell ref="A7:F7"/>
    <mergeCell ref="A8:F8"/>
    <mergeCell ref="N9:Y9"/>
    <mergeCell ref="V12:W12"/>
    <mergeCell ref="A9:M9"/>
    <mergeCell ref="A6:G6"/>
    <mergeCell ref="F11:M11"/>
    <mergeCell ref="N12:O12"/>
    <mergeCell ref="A40:Y40"/>
    <mergeCell ref="A41:Y41"/>
    <mergeCell ref="A42:Y42"/>
    <mergeCell ref="B16:C16"/>
    <mergeCell ref="B17:C17"/>
    <mergeCell ref="B21:C21"/>
    <mergeCell ref="B27:C27"/>
    <mergeCell ref="I38:Y38"/>
    <mergeCell ref="B24:C24"/>
    <mergeCell ref="B23:C23"/>
    <mergeCell ref="B22:C22"/>
  </mergeCells>
  <pageMargins left="0.35" right="0" top="1.4" bottom="0.47244094488188981" header="0.35" footer="0.43307086614173229"/>
  <pageSetup paperSize="9" scale="49" orientation="landscape" copies="2" r:id="rId1"/>
  <headerFooter alignWithMargins="0"/>
  <rowBreaks count="1" manualBreakCount="1">
    <brk id="43" max="28" man="1"/>
  </rowBreaks>
  <drawing r:id="rId2"/>
  <legacyDrawing r:id="rId3"/>
  <oleObjects>
    <oleObject progId="CorelDraw.Graphic.9" shapeId="4097" r:id="rId4"/>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Orçamento</vt:lpstr>
      <vt:lpstr>Quantitativo </vt:lpstr>
      <vt:lpstr>Composição</vt:lpstr>
      <vt:lpstr>CRONOGRAMA</vt:lpstr>
      <vt:lpstr>CRONOGRAMA!Area_de_impressao</vt:lpstr>
      <vt:lpstr>Orçamento!Area_de_impressao</vt:lpstr>
      <vt:lpstr>'Quantitativo '!Area_de_impressao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estagioeduca01</dc:creator>
  <cp:lastModifiedBy>estagioeduca01</cp:lastModifiedBy>
  <cp:lastPrinted>2018-07-05T11:45:44Z</cp:lastPrinted>
  <dcterms:created xsi:type="dcterms:W3CDTF">2017-09-11T16:41:36Z</dcterms:created>
  <dcterms:modified xsi:type="dcterms:W3CDTF">2018-07-10T14:01:22Z</dcterms:modified>
</cp:coreProperties>
</file>