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arissa - Edmundo Engenharia\MICHELE\ESCOLA\EEB BELCHIOR JUNHO 2018\"/>
    </mc:Choice>
  </mc:AlternateContent>
  <bookViews>
    <workbookView xWindow="360" yWindow="90" windowWidth="17175" windowHeight="6165"/>
  </bookViews>
  <sheets>
    <sheet name="Plan1" sheetId="1" r:id="rId1"/>
    <sheet name="Pintura" sheetId="2" r:id="rId2"/>
    <sheet name=" 2" sheetId="3" r:id="rId3"/>
  </sheets>
  <definedNames>
    <definedName name="_xlnm.Print_Area" localSheetId="1">Pintura!$B$1:$L$18</definedName>
    <definedName name="_xlnm.Print_Area" localSheetId="0">Plan1!$A$1:$H$93</definedName>
    <definedName name="_xlnm.Print_Titles" localSheetId="0">Plan1!$1:$6</definedName>
  </definedNames>
  <calcPr calcId="152511"/>
</workbook>
</file>

<file path=xl/calcChain.xml><?xml version="1.0" encoding="utf-8"?>
<calcChain xmlns="http://schemas.openxmlformats.org/spreadsheetml/2006/main">
  <c r="E26" i="1" l="1"/>
  <c r="F76" i="1"/>
  <c r="F75" i="1"/>
  <c r="F43" i="2"/>
  <c r="F42" i="2"/>
  <c r="J44" i="2"/>
  <c r="J42" i="2"/>
  <c r="I45" i="2"/>
  <c r="I44" i="2"/>
  <c r="K44" i="2" s="1"/>
  <c r="J43" i="2"/>
  <c r="I43" i="2"/>
  <c r="I42" i="2"/>
  <c r="K42" i="2" s="1"/>
  <c r="K45" i="2"/>
  <c r="J41" i="2"/>
  <c r="I41" i="2"/>
  <c r="K41" i="2" s="1"/>
  <c r="E41" i="2"/>
  <c r="D41" i="2"/>
  <c r="F41" i="2" s="1"/>
  <c r="J40" i="2"/>
  <c r="K40" i="2" s="1"/>
  <c r="E40" i="2"/>
  <c r="D40" i="2"/>
  <c r="F40" i="2" s="1"/>
  <c r="J39" i="2"/>
  <c r="I39" i="2"/>
  <c r="E39" i="2"/>
  <c r="D39" i="2"/>
  <c r="J38" i="2"/>
  <c r="I38" i="2"/>
  <c r="F38" i="2"/>
  <c r="E38" i="2"/>
  <c r="D38" i="2"/>
  <c r="S37" i="2"/>
  <c r="T37" i="2" s="1"/>
  <c r="J37" i="2"/>
  <c r="K37" i="2" s="1"/>
  <c r="E37" i="2"/>
  <c r="D37" i="2"/>
  <c r="F37" i="2" s="1"/>
  <c r="S36" i="2"/>
  <c r="T36" i="2" s="1"/>
  <c r="J36" i="2"/>
  <c r="I36" i="2"/>
  <c r="E36" i="2"/>
  <c r="D36" i="2"/>
  <c r="F36" i="2" s="1"/>
  <c r="S35" i="2"/>
  <c r="T35" i="2" s="1"/>
  <c r="R34" i="2"/>
  <c r="S34" i="2" s="1"/>
  <c r="T34" i="2" s="1"/>
  <c r="S19" i="2"/>
  <c r="T19" i="2" s="1"/>
  <c r="S18" i="2"/>
  <c r="T18" i="2" s="1"/>
  <c r="S17" i="2"/>
  <c r="T17" i="2" s="1"/>
  <c r="R16" i="2"/>
  <c r="S16" i="2" s="1"/>
  <c r="T16" i="2" s="1"/>
  <c r="E23" i="2"/>
  <c r="D23" i="2"/>
  <c r="F23" i="2" s="1"/>
  <c r="D22" i="2"/>
  <c r="E22" i="2"/>
  <c r="J21" i="2"/>
  <c r="J22" i="2"/>
  <c r="K22" i="2" s="1"/>
  <c r="J19" i="2"/>
  <c r="K19" i="2" s="1"/>
  <c r="J18" i="2"/>
  <c r="E20" i="2"/>
  <c r="I21" i="2"/>
  <c r="K21" i="2" s="1"/>
  <c r="I20" i="2"/>
  <c r="I18" i="2"/>
  <c r="E21" i="2"/>
  <c r="D21" i="2"/>
  <c r="F21" i="2" s="1"/>
  <c r="J20" i="2"/>
  <c r="D20" i="2"/>
  <c r="E19" i="2"/>
  <c r="D19" i="2"/>
  <c r="E18" i="2"/>
  <c r="D18" i="2"/>
  <c r="E21" i="1"/>
  <c r="G21" i="1"/>
  <c r="F47" i="1"/>
  <c r="F33" i="1"/>
  <c r="G33" i="1" s="1"/>
  <c r="H33" i="1" s="1"/>
  <c r="E47" i="1"/>
  <c r="E46" i="1"/>
  <c r="E45" i="1"/>
  <c r="F46" i="1"/>
  <c r="G35" i="1"/>
  <c r="F42" i="1"/>
  <c r="G42" i="1" s="1"/>
  <c r="H42" i="1" s="1"/>
  <c r="F43" i="1"/>
  <c r="E50" i="2" l="1"/>
  <c r="H21" i="1"/>
  <c r="K36" i="2"/>
  <c r="F39" i="2"/>
  <c r="K38" i="2"/>
  <c r="K39" i="2"/>
  <c r="K43" i="2"/>
  <c r="T38" i="2"/>
  <c r="F22" i="2"/>
  <c r="F19" i="2"/>
  <c r="K18" i="2"/>
  <c r="K20" i="2"/>
  <c r="F18" i="2"/>
  <c r="E29" i="2" s="1"/>
  <c r="F20" i="2"/>
  <c r="T20" i="2"/>
  <c r="G43" i="1"/>
  <c r="H43" i="1"/>
  <c r="F44" i="1"/>
  <c r="G44" i="1"/>
  <c r="E44" i="1"/>
  <c r="F45" i="1"/>
  <c r="G45" i="1" s="1"/>
  <c r="H45" i="1" s="1"/>
  <c r="G46" i="1"/>
  <c r="H46" i="1" s="1"/>
  <c r="G47" i="1"/>
  <c r="H47" i="1" s="1"/>
  <c r="G48" i="1"/>
  <c r="H48" i="1" s="1"/>
  <c r="E48" i="1"/>
  <c r="F49" i="1"/>
  <c r="G49" i="1"/>
  <c r="H49" i="1" s="1"/>
  <c r="E49" i="1"/>
  <c r="F12" i="1"/>
  <c r="G12" i="1"/>
  <c r="H12" i="1" s="1"/>
  <c r="E12" i="1"/>
  <c r="G13" i="1"/>
  <c r="H13" i="1"/>
  <c r="F14" i="1"/>
  <c r="G14" i="1"/>
  <c r="H14" i="1" s="1"/>
  <c r="G15" i="1"/>
  <c r="H15" i="1" s="1"/>
  <c r="G16" i="1"/>
  <c r="H16" i="1" s="1"/>
  <c r="E16" i="1"/>
  <c r="F17" i="1"/>
  <c r="G17" i="1"/>
  <c r="E17" i="1"/>
  <c r="F18" i="1"/>
  <c r="G18" i="1"/>
  <c r="E18" i="1"/>
  <c r="F19" i="1"/>
  <c r="G19" i="1" s="1"/>
  <c r="H19" i="1" s="1"/>
  <c r="F20" i="1"/>
  <c r="G20" i="1" s="1"/>
  <c r="E20" i="1"/>
  <c r="H17" i="1" l="1"/>
  <c r="J50" i="2"/>
  <c r="H20" i="1"/>
  <c r="H18" i="1"/>
  <c r="H44" i="1"/>
  <c r="J51" i="2"/>
  <c r="J29" i="2"/>
  <c r="J30" i="2" s="1"/>
  <c r="H50" i="1"/>
  <c r="H22" i="1"/>
  <c r="G9" i="1"/>
  <c r="E9" i="1"/>
  <c r="H9" i="1" l="1"/>
  <c r="H10" i="1" s="1"/>
  <c r="G52" i="1"/>
  <c r="H52" i="1" s="1"/>
  <c r="H53" i="1" s="1"/>
  <c r="E52" i="1"/>
  <c r="G55" i="1"/>
  <c r="H55" i="1"/>
  <c r="G56" i="1"/>
  <c r="H56" i="1" s="1"/>
  <c r="F57" i="1"/>
  <c r="G57" i="1"/>
  <c r="H57" i="1" s="1"/>
  <c r="F58" i="1" l="1"/>
  <c r="G58" i="1" s="1"/>
  <c r="H58" i="1" s="1"/>
  <c r="H59" i="1" s="1"/>
  <c r="F61" i="1"/>
  <c r="G61" i="1" s="1"/>
  <c r="H61" i="1" s="1"/>
  <c r="E61" i="1"/>
  <c r="G62" i="1"/>
  <c r="E62" i="1"/>
  <c r="G63" i="1"/>
  <c r="H63" i="1"/>
  <c r="G64" i="1"/>
  <c r="H64" i="1" s="1"/>
  <c r="G65" i="1"/>
  <c r="H65" i="1"/>
  <c r="H62" i="1" l="1"/>
  <c r="F66" i="1"/>
  <c r="G66" i="1" s="1"/>
  <c r="H66" i="1" s="1"/>
  <c r="G67" i="1"/>
  <c r="H67" i="1" s="1"/>
  <c r="G68" i="1"/>
  <c r="H68" i="1" s="1"/>
  <c r="G69" i="1" l="1"/>
  <c r="H69" i="1" s="1"/>
  <c r="G70" i="1"/>
  <c r="H70" i="1" s="1"/>
  <c r="F73" i="1"/>
  <c r="H71" i="1" l="1"/>
  <c r="G73" i="1"/>
  <c r="H73" i="1" s="1"/>
  <c r="G74" i="1"/>
  <c r="H74" i="1" s="1"/>
  <c r="G75" i="1"/>
  <c r="H75" i="1" s="1"/>
  <c r="G76" i="1"/>
  <c r="H76" i="1" s="1"/>
  <c r="F79" i="1"/>
  <c r="G79" i="1" s="1"/>
  <c r="H79" i="1" s="1"/>
  <c r="H80" i="1" s="1"/>
  <c r="G82" i="1"/>
  <c r="H82" i="1" s="1"/>
  <c r="H83" i="1" s="1"/>
  <c r="G31" i="1"/>
  <c r="H31" i="1" s="1"/>
  <c r="G32" i="1"/>
  <c r="H32" i="1" s="1"/>
  <c r="G34" i="1"/>
  <c r="H34" i="1" s="1"/>
  <c r="E35" i="1"/>
  <c r="H35" i="1" s="1"/>
  <c r="G36" i="1"/>
  <c r="H36" i="1" s="1"/>
  <c r="G37" i="1"/>
  <c r="H37" i="1" s="1"/>
  <c r="G38" i="1"/>
  <c r="H38" i="1" s="1"/>
  <c r="G39" i="1"/>
  <c r="H39" i="1" s="1"/>
  <c r="F24" i="1"/>
  <c r="H77" i="1" l="1"/>
  <c r="H40" i="1"/>
  <c r="G24" i="1"/>
  <c r="H24" i="1" s="1"/>
  <c r="E24" i="1"/>
  <c r="F25" i="1" l="1"/>
  <c r="G25" i="1" s="1"/>
  <c r="H25" i="1" s="1"/>
  <c r="F26" i="1"/>
  <c r="G26" i="1" s="1"/>
  <c r="H26" i="1" s="1"/>
  <c r="F27" i="1"/>
  <c r="G27" i="1" s="1"/>
  <c r="H27" i="1" s="1"/>
  <c r="E27" i="1"/>
  <c r="F28" i="1"/>
  <c r="G28" i="1" s="1"/>
  <c r="H28" i="1" s="1"/>
  <c r="E28" i="1"/>
  <c r="H29" i="1" l="1"/>
  <c r="H84" i="1" s="1"/>
  <c r="F9" i="2"/>
  <c r="E6" i="2"/>
  <c r="E7" i="2"/>
  <c r="E5" i="2"/>
  <c r="E4" i="2"/>
  <c r="D7" i="2"/>
  <c r="F7" i="2" s="1"/>
  <c r="D6" i="2"/>
  <c r="D5" i="2"/>
  <c r="F5" i="2" s="1"/>
  <c r="D4" i="2"/>
  <c r="F4" i="2" s="1"/>
  <c r="F8" i="2"/>
  <c r="J6" i="2"/>
  <c r="J5" i="2"/>
  <c r="K5" i="2" s="1"/>
  <c r="J4" i="2"/>
  <c r="K4" i="2" s="1"/>
  <c r="I7" i="2"/>
  <c r="K7" i="2" s="1"/>
  <c r="K8" i="2"/>
  <c r="K6" i="2"/>
  <c r="G9" i="3"/>
  <c r="H9" i="3" s="1"/>
  <c r="H10" i="3" s="1"/>
  <c r="E9" i="3"/>
  <c r="G12" i="3"/>
  <c r="H12" i="3"/>
  <c r="F13" i="3"/>
  <c r="G13" i="3"/>
  <c r="H13" i="3" s="1"/>
  <c r="H23" i="3" s="1"/>
  <c r="G14" i="3"/>
  <c r="H14" i="3" s="1"/>
  <c r="F15" i="3"/>
  <c r="G15" i="3"/>
  <c r="H15" i="3"/>
  <c r="G16" i="3"/>
  <c r="H16" i="3"/>
  <c r="G17" i="3"/>
  <c r="H17" i="3" s="1"/>
  <c r="E17" i="3"/>
  <c r="F18" i="3"/>
  <c r="G18" i="3"/>
  <c r="H18" i="3" s="1"/>
  <c r="E18" i="3"/>
  <c r="F19" i="3"/>
  <c r="G19" i="3"/>
  <c r="H19" i="3" s="1"/>
  <c r="E19" i="3"/>
  <c r="F20" i="3"/>
  <c r="G20" i="3"/>
  <c r="H20" i="3"/>
  <c r="F21" i="3"/>
  <c r="G21" i="3"/>
  <c r="H21" i="3"/>
  <c r="F22" i="3"/>
  <c r="G22" i="3" s="1"/>
  <c r="H22" i="3" s="1"/>
  <c r="E22" i="3"/>
  <c r="F25" i="3"/>
  <c r="G25" i="3"/>
  <c r="E25" i="3"/>
  <c r="H25" i="3"/>
  <c r="F26" i="3"/>
  <c r="G26" i="3"/>
  <c r="E26" i="3"/>
  <c r="H26" i="3"/>
  <c r="F27" i="3"/>
  <c r="G27" i="3"/>
  <c r="E27" i="3"/>
  <c r="H27" i="3"/>
  <c r="F28" i="3"/>
  <c r="G28" i="3"/>
  <c r="H28" i="3" s="1"/>
  <c r="G31" i="3"/>
  <c r="H31" i="3"/>
  <c r="F32" i="3"/>
  <c r="G32" i="3"/>
  <c r="H32" i="3" s="1"/>
  <c r="H34" i="3" s="1"/>
  <c r="G33" i="3"/>
  <c r="H33" i="3" s="1"/>
  <c r="F36" i="3"/>
  <c r="G36" i="3"/>
  <c r="E36" i="3"/>
  <c r="H36" i="3"/>
  <c r="H38" i="3" s="1"/>
  <c r="F37" i="3"/>
  <c r="G37" i="3"/>
  <c r="H37" i="3" s="1"/>
  <c r="G40" i="3"/>
  <c r="H40" i="3"/>
  <c r="H41" i="3" s="1"/>
  <c r="G43" i="3"/>
  <c r="H43" i="3" s="1"/>
  <c r="H44" i="3" s="1"/>
  <c r="F46" i="3"/>
  <c r="G46" i="3"/>
  <c r="H46" i="3" s="1"/>
  <c r="H51" i="3" s="1"/>
  <c r="E46" i="3"/>
  <c r="F47" i="3"/>
  <c r="G47" i="3"/>
  <c r="H47" i="3" s="1"/>
  <c r="E47" i="3"/>
  <c r="G48" i="3"/>
  <c r="H48" i="3"/>
  <c r="F49" i="3"/>
  <c r="G49" i="3"/>
  <c r="H49" i="3" s="1"/>
  <c r="G50" i="3"/>
  <c r="H50" i="3" s="1"/>
  <c r="F53" i="3"/>
  <c r="G53" i="3"/>
  <c r="H53" i="3" s="1"/>
  <c r="H54" i="3" s="1"/>
  <c r="G56" i="3"/>
  <c r="H56" i="3"/>
  <c r="H57" i="3" s="1"/>
  <c r="H29" i="3" l="1"/>
  <c r="H58" i="3" s="1"/>
  <c r="F6" i="2"/>
  <c r="E11" i="2" s="1"/>
  <c r="J12" i="2" s="1"/>
  <c r="J11" i="2"/>
</calcChain>
</file>

<file path=xl/sharedStrings.xml><?xml version="1.0" encoding="utf-8"?>
<sst xmlns="http://schemas.openxmlformats.org/spreadsheetml/2006/main" count="565" uniqueCount="283">
  <si>
    <t>BDI</t>
  </si>
  <si>
    <t>ITEM</t>
  </si>
  <si>
    <t>CÓDIGO</t>
  </si>
  <si>
    <t>DESCRIÇÃO</t>
  </si>
  <si>
    <t>QUANT.</t>
  </si>
  <si>
    <t>R$ UNITARIO</t>
  </si>
  <si>
    <t>R$ UNIT.C/BDI</t>
  </si>
  <si>
    <t xml:space="preserve">PREÇO TOTAL </t>
  </si>
  <si>
    <t>1.</t>
  </si>
  <si>
    <t>1.1</t>
  </si>
  <si>
    <t>UNID.</t>
  </si>
  <si>
    <t>2.</t>
  </si>
  <si>
    <t>2.1</t>
  </si>
  <si>
    <t>TOTAL GERAL</t>
  </si>
  <si>
    <t>REVESTIMENTO</t>
  </si>
  <si>
    <t>2.2</t>
  </si>
  <si>
    <t>3.</t>
  </si>
  <si>
    <t>3.1</t>
  </si>
  <si>
    <t>4.</t>
  </si>
  <si>
    <t>4.1</t>
  </si>
  <si>
    <t>5.</t>
  </si>
  <si>
    <t>5.1</t>
  </si>
  <si>
    <t>6.</t>
  </si>
  <si>
    <t>HIDROSSANITÁRIO</t>
  </si>
  <si>
    <t>6.1</t>
  </si>
  <si>
    <t>7.</t>
  </si>
  <si>
    <t>7.1</t>
  </si>
  <si>
    <t>PREFEITURA MUNICIPAL DE GASPAR</t>
  </si>
  <si>
    <t>Secretaria Municipal de Educação</t>
  </si>
  <si>
    <t>INSTALAÇÕES ELÉTRICAS</t>
  </si>
  <si>
    <t>LIMPEZA DA OBRA</t>
  </si>
  <si>
    <t>8.1</t>
  </si>
  <si>
    <t>Limpeza final da obra</t>
  </si>
  <si>
    <t>un</t>
  </si>
  <si>
    <t>m²</t>
  </si>
  <si>
    <t>m</t>
  </si>
  <si>
    <t>Total no item 1</t>
  </si>
  <si>
    <t>Total no item 2</t>
  </si>
  <si>
    <t>Total no item 3</t>
  </si>
  <si>
    <t>Total no item 5</t>
  </si>
  <si>
    <t>SERVIÇOS PRELIMINARES</t>
  </si>
  <si>
    <t>FORRO</t>
  </si>
  <si>
    <t>SINAPI 85424</t>
  </si>
  <si>
    <t>5.2</t>
  </si>
  <si>
    <t>5.3</t>
  </si>
  <si>
    <t>SINAPI 73838/001</t>
  </si>
  <si>
    <t>SINAPI 72120</t>
  </si>
  <si>
    <t>dia</t>
  </si>
  <si>
    <t>IPPUJ C30.50.15.05.005</t>
  </si>
  <si>
    <t>ANDAIME</t>
  </si>
  <si>
    <t>m³</t>
  </si>
  <si>
    <t>3.3</t>
  </si>
  <si>
    <t>2.3</t>
  </si>
  <si>
    <t>2.4</t>
  </si>
  <si>
    <t>2.5</t>
  </si>
  <si>
    <t>Andaime metálico modular de 1,5X1,00 de até 8m.</t>
  </si>
  <si>
    <t>loc/mês</t>
  </si>
  <si>
    <t>IPPUJ C25.41.05.05.005</t>
  </si>
  <si>
    <t>MERCADO</t>
  </si>
  <si>
    <t>Total no item 4</t>
  </si>
  <si>
    <t>9.1</t>
  </si>
  <si>
    <t>Total no item 9</t>
  </si>
  <si>
    <t>DEMOLIÇÕES/REMOÇÕES/ MANUTENÇÕES</t>
  </si>
  <si>
    <t>3.4</t>
  </si>
  <si>
    <t>10.</t>
  </si>
  <si>
    <t>10.1</t>
  </si>
  <si>
    <t>IPPUJ C10.48.10.15.005</t>
  </si>
  <si>
    <t>IPPUJ C15.15.05.58.005</t>
  </si>
  <si>
    <t>2.7</t>
  </si>
  <si>
    <t>2.8</t>
  </si>
  <si>
    <t>2.9</t>
  </si>
  <si>
    <t>3.5</t>
  </si>
  <si>
    <t>8.</t>
  </si>
  <si>
    <t>9.</t>
  </si>
  <si>
    <t>SINAPI 9537</t>
  </si>
  <si>
    <t>Total no item 15</t>
  </si>
  <si>
    <t>Execução da obra: 90 dias.</t>
  </si>
  <si>
    <t>EDMUNDO DE J. ARAUJO JUNIOR</t>
  </si>
  <si>
    <t>Engenheiro Civil/CREA 053.875-8</t>
  </si>
  <si>
    <t>COMPLEMENTOS</t>
  </si>
  <si>
    <t xml:space="preserve">Gaspar, 29 de maio de 2018.                                                                                                                                                                     </t>
  </si>
  <si>
    <t xml:space="preserve">Nota: Valores em reais.                                                                                                                                                                      </t>
  </si>
  <si>
    <t>OBRA: Reforma do Pátio - CDI Sônia Gioconda Beduschi Buzzi</t>
  </si>
  <si>
    <t>Local: Rua Antônio Moser, 110, Bairro: Bela Vista</t>
  </si>
  <si>
    <t>ORÇAMENTO</t>
  </si>
  <si>
    <t>Piso cerâmico padrão alto 40x40cm, assentado sobre argamassa colante pré-fabricada</t>
  </si>
  <si>
    <t>TELHADO</t>
  </si>
  <si>
    <t>2.10</t>
  </si>
  <si>
    <t>2.11</t>
  </si>
  <si>
    <t>2.12</t>
  </si>
  <si>
    <t>8.2</t>
  </si>
  <si>
    <t>8.3</t>
  </si>
  <si>
    <t>8.4</t>
  </si>
  <si>
    <t>Total no item 8</t>
  </si>
  <si>
    <t>Sinalização e isolamento de obra com tela plástica com malha de 5mm e estrutura de madeira pontaleteada. (Altura mínima: 2,20m)</t>
  </si>
  <si>
    <t>Remoção de luminárias, de forma manual, sem reaproveitamento.</t>
  </si>
  <si>
    <t>un.</t>
  </si>
  <si>
    <t>SINAPI 96111</t>
  </si>
  <si>
    <t>Desmonte de estrutura de cobertura em madeira</t>
  </si>
  <si>
    <t>IPPUJ C20.05.05.10.010</t>
  </si>
  <si>
    <t>Remoção de telhas cerâmica, de forma manual, sem reaproveitamento.</t>
  </si>
  <si>
    <t>SINAPI 97647</t>
  </si>
  <si>
    <t>Demolição de alvenaria de tijolo maciço, de forma manual, sem reaproveitamento.</t>
  </si>
  <si>
    <t>SINAPI 97624</t>
  </si>
  <si>
    <t>Remoção manual de revestimento em azulejo, sem reaproveitamento</t>
  </si>
  <si>
    <t>IPPUJ C20.05.10.15.005</t>
  </si>
  <si>
    <t>Remoção manual de revestimento em piso cerâmico, sem reaproveitamento</t>
  </si>
  <si>
    <t>IPPUJ C20.05.10.10.010</t>
  </si>
  <si>
    <t>SINAPI 97593</t>
  </si>
  <si>
    <t>Forro PVC em réguas, frisado, inclusive estrutura de fixação.</t>
  </si>
  <si>
    <t>IPPUJ C20.05205.20.010</t>
  </si>
  <si>
    <t>Remoção de forro pvc, sem reaproveitamento.</t>
  </si>
  <si>
    <t>IPPUJ C10.48.05.15.010</t>
  </si>
  <si>
    <t>Reboco hidrófugo para parede com argamassa pré-fabricada de cimento, cal, areia, e aditivo. Espessura 5,0mm.</t>
  </si>
  <si>
    <t>IPPUJ C10.44.15.05.010</t>
  </si>
  <si>
    <t>Rodapé cerâmico padrão médio, 0,8x0,8cm, assentado sobre argamassa colante pré-fabricada.</t>
  </si>
  <si>
    <t>IPPUJ C10.44.15.10.010</t>
  </si>
  <si>
    <t>IPPUJ C10.72.19.60.020</t>
  </si>
  <si>
    <t>Lavatório coletivo em aço inoxidável, 175x35x25cm, incluso sifão flexível.</t>
  </si>
  <si>
    <t>kg</t>
  </si>
  <si>
    <t>Torneira 1/4 volta, uso geral, largura 12cm, cromada.</t>
  </si>
  <si>
    <t>Espelho cristal, espessura 4mm, com parafusos de fixação, sem moldura, 175x30cm.</t>
  </si>
  <si>
    <t>SINAPI 85005</t>
  </si>
  <si>
    <t>Saboneteira espuma, de parede, incluso fornecimento e instalação</t>
  </si>
  <si>
    <t>Suporte multiuso com ganchos, incluso fornecimento e instalação</t>
  </si>
  <si>
    <t>Acabamento válvula de descarga, inox, incluso fornecimento e instalação</t>
  </si>
  <si>
    <t>Ralo sifonado PVC quadrado, 100x100, com grelha branca</t>
  </si>
  <si>
    <t>Assento para sanitário infantil, branco, incluso fornecimento e instalação</t>
  </si>
  <si>
    <t>instalação de luminarias spot led, de sobrepor, com 1 lâmpada de 15w, branco frio. (Fornecimento e instalaçao)</t>
  </si>
  <si>
    <t>Remoção de Luminárias que serão substituídas por outra luminária de modelo diferente.</t>
  </si>
  <si>
    <t>Manutenção e readequação da fiação elétrica, com reaproveitamento.</t>
  </si>
  <si>
    <t>SINAPI 97665</t>
  </si>
  <si>
    <t>Pastilha cerâmica padrão alto 10x10cm, assentada sobre argamassa colante,  na cor branca. (h=1,50m)</t>
  </si>
  <si>
    <t>4.2</t>
  </si>
  <si>
    <t>4.3</t>
  </si>
  <si>
    <t>Total  no item 6</t>
  </si>
  <si>
    <t>Total no item 7</t>
  </si>
  <si>
    <t>8.5</t>
  </si>
  <si>
    <t>Remoção e fechamento de itens hidraulicos e torneiras. Incluso o fornecimento de materiais.</t>
  </si>
  <si>
    <t>Manutençao e readequação com substituição de dijuntores (Iluminação-DIN 10A)</t>
  </si>
  <si>
    <t>Estrutura metálica para telhado duas águas, incluindo fornecimento, fabricação, tratamento com jato de areia, e uma mão de tinta de óxido de ferrro com 25 micha de espes, para telha métalica. (apresentar RT) (consumo mínimo adotado 25kg/m²)</t>
  </si>
  <si>
    <t>Telha termo acústica trapezoidal nas duas faces, em alumínio, instalada.</t>
  </si>
  <si>
    <t>Estrutura em madeira de itauba, dura e devidamente tratata (anticupim) p/ cobertura em telha de fibrocimento ou metálica, vão até 15 metros. Apresentar nota fiscal comprovando a especie definida da madeira e seu respectivo tratamento. Obs.: Seções das peças de caibros e/ou terças a serem utilizados, não podem ser inferior a (6x12) centimetros. Incluso sarrafos e pontaletes para montagem da estrutura.</t>
  </si>
  <si>
    <t>IPPUJ C20.05.10.50.017</t>
  </si>
  <si>
    <t>IPPUJ I16.10.05.05.0100</t>
  </si>
  <si>
    <t>IPPUJ C10.38.22.30.006</t>
  </si>
  <si>
    <t>Calha de alumínio ( espessura: 0,7mm/ desenvolvimento: 50cm), instalada.</t>
  </si>
  <si>
    <t>Remoção de calhas e rufos de aluminio, com reaproveitamento de 50% do material, o restante sendo novos, juntamente com as descidas pluviais.</t>
  </si>
  <si>
    <t>IPPUJ C20.05.05.40.005</t>
  </si>
  <si>
    <t>IPPUJ C10.36.22.15.017</t>
  </si>
  <si>
    <t>5.4</t>
  </si>
  <si>
    <t>5.5</t>
  </si>
  <si>
    <t>SINAPI 89957</t>
  </si>
  <si>
    <t>Ponto de consumo terminal de água fria, com tubulação de PVC, DN 25mm, instalado em ramal de água, incluso rasgo e chumbamento em alvenaria.</t>
  </si>
  <si>
    <t>IPPUJ C20.05.10.15.020</t>
  </si>
  <si>
    <t>Pia de cozinha inox, 120x53x11cm.</t>
  </si>
  <si>
    <t>DEMOLIÇÕES/REMOÇÕES</t>
  </si>
  <si>
    <t>SINAPI 86911</t>
  </si>
  <si>
    <t>Torneira cromada longa, de parede, para  pia de cozinha.</t>
  </si>
  <si>
    <t>8.6</t>
  </si>
  <si>
    <t>8.7</t>
  </si>
  <si>
    <t>SINAPI 72089</t>
  </si>
  <si>
    <t>5.6</t>
  </si>
  <si>
    <t>Testeira de madeira de itaúba, restauro, considerando 70% de reaproveitamento.</t>
  </si>
  <si>
    <t>IPPUJ C15.05.05.45.030</t>
  </si>
  <si>
    <t>2.6</t>
  </si>
  <si>
    <t>3.2</t>
  </si>
  <si>
    <t>4.4</t>
  </si>
  <si>
    <t>5.7</t>
  </si>
  <si>
    <t>7.2</t>
  </si>
  <si>
    <t>7.3</t>
  </si>
  <si>
    <t>7.4</t>
  </si>
  <si>
    <t>8.8</t>
  </si>
  <si>
    <t>8.9</t>
  </si>
  <si>
    <t>Armário para pia de cozinha, 1,20x0,50m, branco.</t>
  </si>
  <si>
    <t>PINTURA</t>
  </si>
  <si>
    <t>PAREDE INTERNA</t>
  </si>
  <si>
    <t>TOTAL</t>
  </si>
  <si>
    <t>LOCAL</t>
  </si>
  <si>
    <t>ALTURA</t>
  </si>
  <si>
    <t>PORTA / JANELA</t>
  </si>
  <si>
    <t>PAREDE EXTERNA</t>
  </si>
  <si>
    <t>Banheiro 1</t>
  </si>
  <si>
    <t>Banheiro 2</t>
  </si>
  <si>
    <t>Sala 01</t>
  </si>
  <si>
    <t>Despesa</t>
  </si>
  <si>
    <t>Corredor 01</t>
  </si>
  <si>
    <t>Fundos sala nova</t>
  </si>
  <si>
    <t>Lateral sala 03</t>
  </si>
  <si>
    <t>Platibanda</t>
  </si>
  <si>
    <t>Lateral pátio sala nova</t>
  </si>
  <si>
    <t>Lateral garagem sala nova</t>
  </si>
  <si>
    <t>TOTAL:</t>
  </si>
  <si>
    <t>Teto corredor 01</t>
  </si>
  <si>
    <t>PERIMETRO</t>
  </si>
  <si>
    <t>9.2</t>
  </si>
  <si>
    <t>9.3</t>
  </si>
  <si>
    <t>Limpeza de alvenaria para pintura.</t>
  </si>
  <si>
    <t>DEINFRA 42780</t>
  </si>
  <si>
    <t>Aplicação manual de fundo selador acrílico em paredes.</t>
  </si>
  <si>
    <t>SINAPI 88415</t>
  </si>
  <si>
    <t>SINAPI 88423</t>
  </si>
  <si>
    <t>9.4</t>
  </si>
  <si>
    <t>Total no item 10</t>
  </si>
  <si>
    <t>11.</t>
  </si>
  <si>
    <t>11.1</t>
  </si>
  <si>
    <t>Total no item 11</t>
  </si>
  <si>
    <t>Ralo sifonado PVC quadrado, 100x100, com grelha branca.</t>
  </si>
  <si>
    <t>Ponto de esgoto com tubulação de pvc, branco, DN 75 mm, (instalado e incluso conexões,tubos, rasgo e chumbamento em piso e afins).</t>
  </si>
  <si>
    <t>4.5</t>
  </si>
  <si>
    <t>Tubo de PVC, série normal, esgoto predial, DN 50mm (instalado com conexões, cortes, fixação com suportes metálicos e afins).</t>
  </si>
  <si>
    <t>Joelho 90 graus, pvc, série normal, esgoto predial, DN 50 mm, junta elástica, instalado em ramal de esgoto (fornecimento e instalação).</t>
  </si>
  <si>
    <t>SINAPI 89501</t>
  </si>
  <si>
    <t>4.6</t>
  </si>
  <si>
    <t>4.7</t>
  </si>
  <si>
    <t>4.8</t>
  </si>
  <si>
    <t>4.9</t>
  </si>
  <si>
    <t>8.10</t>
  </si>
  <si>
    <t>Sinalização e isolamento de obra com tela plástica com malha de 5mm e estrutura de madeira pontaleteada. (Altura mínima: 2,20m).</t>
  </si>
  <si>
    <t>Desmonte de estrutura de cobertura em madeira.</t>
  </si>
  <si>
    <t>Remoção manual de revestimento em azulejo, sem reaproveitamento.</t>
  </si>
  <si>
    <t>Remoção manual de revestimento em piso cerâmico, sem reaproveitamento.</t>
  </si>
  <si>
    <t>Pastilha cerâmica padrão alto 10x10cm, assentada sobre argamassa colante,  na cor branca. (h=1,50m).</t>
  </si>
  <si>
    <t>Joelho 90 graus, pvc, soldavél, DN 50 mm, instalado em prumada de água. (fornecimento e instalação).</t>
  </si>
  <si>
    <t>Recolocação de telhas cerâmicas tipo francesa/ fibrocimento, considerando 70% de reaproveitamento de material. ( Sendo o restante reparado e subtituido).</t>
  </si>
  <si>
    <t>Manutençao e readequação com substituição de dijuntores (Iluminação-DIN 10A).</t>
  </si>
  <si>
    <t>Saboneteira espuma, de parede, incluso fornecimento e instalação.</t>
  </si>
  <si>
    <t>Assento para sanitário infantil, branco, incluso fornecimento e instalação.</t>
  </si>
  <si>
    <t>Suporte multiuso com ganchos, incluso fornecimento e instalação.</t>
  </si>
  <si>
    <t>Limpeza final da obra.</t>
  </si>
  <si>
    <t>SINAPI 88431</t>
  </si>
  <si>
    <t>Pintura manual com tinta texturizada acrílica em paredes externas, duas cores.</t>
  </si>
  <si>
    <t>Pintura manual com tinta texturizada acrílica, em paredes internas, uma cor.</t>
  </si>
  <si>
    <t>IPPUJ C20.05.05.20.010</t>
  </si>
  <si>
    <t>IPPUJ C20.05.15.10.020</t>
  </si>
  <si>
    <t>Rasgo em concreto para passagem de tubulação de esgoto dn 40 a 100mm.</t>
  </si>
  <si>
    <t>IPPUJ C10.36.36.05.025</t>
  </si>
  <si>
    <t>OBRA: Reforma - Escola de Ensino Básico Belchior</t>
  </si>
  <si>
    <t>Remoção manual de revestimento em argamassa contaminada, para restauro de parede. (Altura = 1m).</t>
  </si>
  <si>
    <t>Correção superficial em parede, entelamento em superfície sujeita a trinca, selatrinca e lixação. (30% da área total)</t>
  </si>
  <si>
    <t>SINAPI 89446</t>
  </si>
  <si>
    <t>Tubo de PVC, soldável, DN 25mm, instalado em prumada de água, com conexões, cortes, fixação com suportes metálicos e afins (fornecimento e instalação).</t>
  </si>
  <si>
    <t>SINAPI 89481</t>
  </si>
  <si>
    <t>Tê, PVC, soldável, DN 25 mm, instalado em prumada de água (fornecimento e instalação).</t>
  </si>
  <si>
    <t>SINAPI 89440</t>
  </si>
  <si>
    <t>Pingadeira de alumínio e=0,5mm.</t>
  </si>
  <si>
    <t>IPPUJ I05.80.10.25.011</t>
  </si>
  <si>
    <t>5.8</t>
  </si>
  <si>
    <t>Rufo de alumínio e=0,7mm com desenvolvimento de 60cm
com dobras</t>
  </si>
  <si>
    <t>IPPUJ C10.36.05.06.010</t>
  </si>
  <si>
    <t>SINAPI 74051/002</t>
  </si>
  <si>
    <t>Caixa de gordura simples em concreto pré-moldado, DN 50mm, com tampa, incluindo fornecimento e instalação.</t>
  </si>
  <si>
    <t>SINAPI 89712</t>
  </si>
  <si>
    <t>IPPUJ I05.80.05.40.017</t>
  </si>
  <si>
    <t>Telha termo acústica trapezoidal nas duas faces, em alumínio, núcleo de EPS 30mm, instalada.</t>
  </si>
  <si>
    <t>SINAPI 96116</t>
  </si>
  <si>
    <t>Execução da obra: 120 dias.</t>
  </si>
  <si>
    <t>SINAPI 72897</t>
  </si>
  <si>
    <t xml:space="preserve">Carga manual de entulho em caminhão basculante, 6m³, com descarga em local apropiado. </t>
  </si>
  <si>
    <t>Rodapé cerâmico padrão médio, 0,8x0,8cm, assentado sobre argamassa colante pré-fabricada. Instalados na sala 01 e 03.</t>
  </si>
  <si>
    <t>Piso cerâmico padrão alto 40x40cm, assentado sobre argamassa colante pré-fabricada. Instalados na sala 01, sala 03 e banheiros.</t>
  </si>
  <si>
    <t>Forro PVC branco em réguas, frisado, incluso estrutura metálica de fixação.</t>
  </si>
  <si>
    <t>instalação de luminarias spot led, de sobrepor, com 1 lâmpada de 19w, branco frio. (Fornecimento e instalação, inclusive fiação adicional).</t>
  </si>
  <si>
    <t>Manutenção/revisão válvulas de descarga existentes e substituição do acabamento da válvula de descarga, inox, incluso fornecimento e instalação.</t>
  </si>
  <si>
    <t xml:space="preserve">Gaspar, 20 de junho de 2018.                                                                                                                                                                     </t>
  </si>
  <si>
    <t>fachada</t>
  </si>
  <si>
    <t>sala 3 p. total</t>
  </si>
  <si>
    <t xml:space="preserve">sala 2 </t>
  </si>
  <si>
    <t>sala 1/despensa</t>
  </si>
  <si>
    <t>sala 1 lateral (banheiros)</t>
  </si>
  <si>
    <t>Sala 02</t>
  </si>
  <si>
    <t>Sala 03</t>
  </si>
  <si>
    <t>D 42780</t>
  </si>
  <si>
    <t>sala  ao lado sala 01</t>
  </si>
  <si>
    <t>platibanda</t>
  </si>
  <si>
    <t>secretaria etc</t>
  </si>
  <si>
    <t>cozinha</t>
  </si>
  <si>
    <t>refeitorio</t>
  </si>
  <si>
    <t>IPPUJ C10.56.15.10.017</t>
  </si>
  <si>
    <t>IPPUJ C10.56.15.10.020</t>
  </si>
  <si>
    <t>Pintura interna com tinta látex acrílica semi-brilho, 2 demãos, rendimento 0,16 litros/m².</t>
  </si>
  <si>
    <t>Pintura externa com tinta látex acrílica acetinada, 3 demãos, rendimento 0,20 litros/m².</t>
  </si>
  <si>
    <t>Local: Rua Bonifácio Haendcher, 945 Bairro: Belchior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</si>
</sst>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\-#,##0.00\ ;&quot; -&quot;#\ ;@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1.5"/>
      <name val="Arial Narrow"/>
      <family val="2"/>
    </font>
    <font>
      <sz val="11.5"/>
      <name val="Arial Narrow"/>
      <family val="2"/>
    </font>
    <font>
      <sz val="11.5"/>
      <color theme="1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 tint="-0.34998626667073579"/>
        <bgColor indexed="4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/>
    <xf numFmtId="0" fontId="10" fillId="0" borderId="0"/>
  </cellStyleXfs>
  <cellXfs count="196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/>
    <xf numFmtId="0" fontId="9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0" fontId="12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/>
    <xf numFmtId="2" fontId="0" fillId="0" borderId="0" xfId="0" applyNumberFormat="1" applyBorder="1"/>
    <xf numFmtId="2" fontId="0" fillId="0" borderId="0" xfId="0" applyNumberForma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/>
    <xf numFmtId="4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left" vertical="center" wrapText="1"/>
    </xf>
    <xf numFmtId="4" fontId="15" fillId="4" borderId="1" xfId="2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6" fillId="0" borderId="1" xfId="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5" borderId="1" xfId="2" applyFont="1" applyFill="1" applyBorder="1" applyAlignment="1">
      <alignment horizontal="left" vertical="center" wrapText="1"/>
    </xf>
    <xf numFmtId="4" fontId="16" fillId="0" borderId="1" xfId="2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 wrapText="1"/>
    </xf>
    <xf numFmtId="4" fontId="15" fillId="2" borderId="1" xfId="2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3" fontId="15" fillId="4" borderId="1" xfId="2" applyNumberFormat="1" applyFont="1" applyFill="1" applyBorder="1" applyAlignment="1">
      <alignment horizontal="center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/>
    </xf>
    <xf numFmtId="4" fontId="5" fillId="0" borderId="13" xfId="1" applyNumberFormat="1" applyFont="1" applyBorder="1" applyAlignment="1">
      <alignment horizontal="center"/>
    </xf>
    <xf numFmtId="4" fontId="0" fillId="0" borderId="13" xfId="0" applyNumberFormat="1" applyBorder="1"/>
    <xf numFmtId="4" fontId="6" fillId="0" borderId="14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15" fillId="2" borderId="1" xfId="2" applyNumberFormat="1" applyFont="1" applyFill="1" applyBorder="1" applyAlignment="1">
      <alignment horizontal="right" vertical="center" wrapText="1"/>
    </xf>
    <xf numFmtId="4" fontId="15" fillId="4" borderId="1" xfId="2" applyNumberFormat="1" applyFont="1" applyFill="1" applyBorder="1" applyAlignment="1">
      <alignment horizontal="right" vertical="center" wrapText="1"/>
    </xf>
    <xf numFmtId="4" fontId="16" fillId="5" borderId="1" xfId="2" applyNumberFormat="1" applyFont="1" applyFill="1" applyBorder="1" applyAlignment="1">
      <alignment horizontal="right" vertical="center" wrapText="1"/>
    </xf>
    <xf numFmtId="4" fontId="15" fillId="7" borderId="1" xfId="2" applyNumberFormat="1" applyFont="1" applyFill="1" applyBorder="1" applyAlignment="1">
      <alignment horizontal="right" vertical="center" wrapText="1"/>
    </xf>
    <xf numFmtId="4" fontId="17" fillId="5" borderId="1" xfId="2" applyNumberFormat="1" applyFont="1" applyFill="1" applyBorder="1" applyAlignment="1">
      <alignment horizontal="right" vertical="center" wrapText="1"/>
    </xf>
    <xf numFmtId="4" fontId="15" fillId="7" borderId="15" xfId="2" applyNumberFormat="1" applyFont="1" applyFill="1" applyBorder="1" applyAlignment="1">
      <alignment horizontal="right" vertical="center" wrapText="1"/>
    </xf>
    <xf numFmtId="4" fontId="15" fillId="4" borderId="3" xfId="2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/>
    <xf numFmtId="0" fontId="15" fillId="2" borderId="1" xfId="2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22" fillId="0" borderId="1" xfId="4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0" fontId="15" fillId="2" borderId="1" xfId="2" applyNumberFormat="1" applyFont="1" applyFill="1" applyBorder="1" applyAlignment="1">
      <alignment horizontal="center" vertical="center" wrapText="1"/>
    </xf>
    <xf numFmtId="0" fontId="15" fillId="4" borderId="1" xfId="2" applyNumberFormat="1" applyFont="1" applyFill="1" applyBorder="1" applyAlignment="1">
      <alignment horizontal="center" vertical="center" wrapText="1"/>
    </xf>
    <xf numFmtId="0" fontId="16" fillId="5" borderId="1" xfId="1" applyNumberFormat="1" applyFont="1" applyFill="1" applyBorder="1" applyAlignment="1" applyProtection="1">
      <alignment horizontal="center" vertical="center" wrapText="1"/>
    </xf>
    <xf numFmtId="0" fontId="16" fillId="5" borderId="1" xfId="2" applyNumberFormat="1" applyFont="1" applyFill="1" applyBorder="1" applyAlignment="1" applyProtection="1">
      <alignment horizontal="center" vertical="center" wrapText="1"/>
    </xf>
    <xf numFmtId="0" fontId="17" fillId="5" borderId="1" xfId="1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/>
    <xf numFmtId="0" fontId="0" fillId="0" borderId="0" xfId="0"/>
    <xf numFmtId="0" fontId="0" fillId="0" borderId="0" xfId="0"/>
    <xf numFmtId="0" fontId="0" fillId="0" borderId="0" xfId="0"/>
    <xf numFmtId="2" fontId="17" fillId="0" borderId="1" xfId="0" applyNumberFormat="1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0" fillId="0" borderId="0" xfId="0"/>
    <xf numFmtId="2" fontId="17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4" fontId="17" fillId="5" borderId="1" xfId="2" applyNumberFormat="1" applyFont="1" applyFill="1" applyBorder="1" applyAlignment="1">
      <alignment horizontal="center" vertical="center" wrapText="1"/>
    </xf>
    <xf numFmtId="4" fontId="17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7" fillId="0" borderId="0" xfId="0" applyFont="1"/>
    <xf numFmtId="0" fontId="8" fillId="0" borderId="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23" fillId="0" borderId="18" xfId="6" applyFont="1" applyFill="1" applyBorder="1" applyAlignment="1">
      <alignment horizontal="center" vertical="center" wrapText="1"/>
    </xf>
    <xf numFmtId="0" fontId="26" fillId="0" borderId="19" xfId="6" applyFont="1" applyFill="1" applyBorder="1" applyAlignment="1">
      <alignment horizontal="center" vertical="center" wrapText="1"/>
    </xf>
    <xf numFmtId="0" fontId="25" fillId="0" borderId="19" xfId="6" applyFont="1" applyFill="1" applyBorder="1" applyAlignment="1">
      <alignment horizontal="center" vertical="center" wrapText="1"/>
    </xf>
    <xf numFmtId="0" fontId="23" fillId="0" borderId="19" xfId="6" applyNumberFormat="1" applyFont="1" applyFill="1" applyBorder="1" applyAlignment="1">
      <alignment horizontal="center" vertical="center" wrapText="1"/>
    </xf>
    <xf numFmtId="0" fontId="23" fillId="0" borderId="20" xfId="6" applyNumberFormat="1" applyFont="1" applyFill="1" applyBorder="1" applyAlignment="1">
      <alignment horizontal="center" vertical="center" wrapText="1"/>
    </xf>
    <xf numFmtId="0" fontId="23" fillId="0" borderId="24" xfId="6" applyFont="1" applyFill="1" applyBorder="1" applyAlignment="1">
      <alignment horizontal="center" vertical="center" wrapText="1"/>
    </xf>
    <xf numFmtId="0" fontId="11" fillId="0" borderId="25" xfId="6" applyNumberFormat="1" applyFont="1" applyFill="1" applyBorder="1" applyAlignment="1">
      <alignment horizontal="center" vertical="center" wrapText="1"/>
    </xf>
    <xf numFmtId="0" fontId="26" fillId="0" borderId="18" xfId="6" applyFont="1" applyFill="1" applyBorder="1" applyAlignment="1">
      <alignment horizontal="center" vertical="center" wrapText="1"/>
    </xf>
    <xf numFmtId="0" fontId="26" fillId="0" borderId="24" xfId="6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right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0" fillId="5" borderId="21" xfId="0" applyFill="1" applyBorder="1"/>
    <xf numFmtId="0" fontId="0" fillId="5" borderId="26" xfId="0" applyFill="1" applyBorder="1"/>
    <xf numFmtId="0" fontId="8" fillId="5" borderId="21" xfId="0" applyFont="1" applyFill="1" applyBorder="1" applyAlignment="1">
      <alignment horizontal="right" vertical="center" wrapText="1"/>
    </xf>
    <xf numFmtId="0" fontId="8" fillId="5" borderId="21" xfId="0" applyFont="1" applyFill="1" applyBorder="1" applyAlignment="1">
      <alignment vertical="center" wrapText="1"/>
    </xf>
    <xf numFmtId="0" fontId="12" fillId="0" borderId="0" xfId="0" applyFont="1" applyFill="1"/>
    <xf numFmtId="0" fontId="9" fillId="0" borderId="0" xfId="0" applyFont="1" applyFill="1"/>
    <xf numFmtId="0" fontId="0" fillId="0" borderId="0" xfId="0"/>
    <xf numFmtId="0" fontId="17" fillId="0" borderId="1" xfId="0" applyFont="1" applyBorder="1" applyAlignment="1">
      <alignment horizontal="center" vertical="top"/>
    </xf>
    <xf numFmtId="0" fontId="20" fillId="0" borderId="1" xfId="2" applyFont="1" applyFill="1" applyBorder="1" applyAlignment="1">
      <alignment horizontal="center" vertical="top" wrapText="1"/>
    </xf>
    <xf numFmtId="0" fontId="16" fillId="5" borderId="1" xfId="2" applyFont="1" applyFill="1" applyBorder="1" applyAlignment="1">
      <alignment horizontal="left" vertical="top" wrapText="1"/>
    </xf>
    <xf numFmtId="0" fontId="16" fillId="5" borderId="1" xfId="1" applyNumberFormat="1" applyFont="1" applyFill="1" applyBorder="1" applyAlignment="1" applyProtection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/>
    </xf>
    <xf numFmtId="4" fontId="16" fillId="5" borderId="1" xfId="2" applyNumberFormat="1" applyFont="1" applyFill="1" applyBorder="1" applyAlignment="1">
      <alignment horizontal="right" vertical="top" wrapText="1"/>
    </xf>
    <xf numFmtId="0" fontId="0" fillId="0" borderId="0" xfId="0"/>
    <xf numFmtId="2" fontId="11" fillId="0" borderId="1" xfId="6" applyNumberFormat="1" applyFont="1" applyFill="1" applyBorder="1" applyAlignment="1">
      <alignment horizontal="left" vertical="center" wrapText="1" indent="2"/>
    </xf>
    <xf numFmtId="2" fontId="11" fillId="0" borderId="1" xfId="6" applyNumberFormat="1" applyFont="1" applyFill="1" applyBorder="1" applyAlignment="1">
      <alignment horizontal="center" vertical="center" wrapText="1"/>
    </xf>
    <xf numFmtId="2" fontId="11" fillId="0" borderId="25" xfId="6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29" fillId="5" borderId="1" xfId="2" applyFont="1" applyFill="1" applyBorder="1" applyAlignment="1">
      <alignment horizontal="left" vertical="center" wrapText="1"/>
    </xf>
    <xf numFmtId="0" fontId="29" fillId="5" borderId="1" xfId="2" applyNumberFormat="1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5" fillId="2" borderId="15" xfId="2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5" fillId="6" borderId="4" xfId="2" applyFont="1" applyFill="1" applyBorder="1" applyAlignment="1">
      <alignment horizontal="left" vertical="center"/>
    </xf>
    <xf numFmtId="0" fontId="15" fillId="6" borderId="5" xfId="2" applyFont="1" applyFill="1" applyBorder="1" applyAlignment="1">
      <alignment horizontal="left" vertical="center"/>
    </xf>
    <xf numFmtId="0" fontId="15" fillId="6" borderId="6" xfId="2" applyFont="1" applyFill="1" applyBorder="1" applyAlignment="1">
      <alignment horizontal="left" vertical="center"/>
    </xf>
    <xf numFmtId="0" fontId="17" fillId="0" borderId="0" xfId="0" applyFont="1" applyBorder="1" applyAlignment="1">
      <alignment horizontal="right" vertical="center" wrapText="1"/>
    </xf>
    <xf numFmtId="2" fontId="8" fillId="5" borderId="5" xfId="0" applyNumberFormat="1" applyFont="1" applyFill="1" applyBorder="1" applyAlignment="1">
      <alignment horizontal="right" vertical="center" wrapText="1"/>
    </xf>
    <xf numFmtId="2" fontId="8" fillId="5" borderId="6" xfId="0" applyNumberFormat="1" applyFont="1" applyFill="1" applyBorder="1" applyAlignment="1">
      <alignment horizontal="right" vertical="center" wrapText="1"/>
    </xf>
    <xf numFmtId="2" fontId="8" fillId="5" borderId="5" xfId="0" applyNumberFormat="1" applyFont="1" applyFill="1" applyBorder="1" applyAlignment="1">
      <alignment horizontal="right" wrapText="1"/>
    </xf>
    <xf numFmtId="2" fontId="8" fillId="5" borderId="6" xfId="0" applyNumberFormat="1" applyFont="1" applyFill="1" applyBorder="1" applyAlignment="1">
      <alignment horizontal="right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11" fillId="0" borderId="22" xfId="6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1" fillId="0" borderId="23" xfId="6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</cellXfs>
  <cellStyles count="7">
    <cellStyle name="Excel Built-in Normal" xfId="2"/>
    <cellStyle name="Excel Built-in Normal 1 2" xfId="4"/>
    <cellStyle name="Excel Built-in Normal 2" xfId="3"/>
    <cellStyle name="Normal" xfId="0" builtinId="0"/>
    <cellStyle name="Normal_Pesquisa no referencial 10 de maio de 2013" xfId="6"/>
    <cellStyle name="Porcentagem" xfId="1" builtinId="5"/>
    <cellStyle name="Vírgula 2" xfId="5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187738</xdr:colOff>
      <xdr:row>1</xdr:row>
      <xdr:rowOff>0</xdr:rowOff>
    </xdr:from>
    <xdr:to>
      <xdr:col>1</xdr:col>
      <xdr:colOff>914400</xdr:colOff>
      <xdr:row>4</xdr:row>
      <xdr:rowOff>171450</xdr:rowOff>
    </xdr:to>
    <xdr:pic>
      <xdr:nvPicPr>
        <xdr:cNvPr id="3" name="Imagem 3" descr="bandeira GASPA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738" y="190500"/>
          <a:ext cx="1155287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323118</xdr:colOff>
      <xdr:row>0</xdr:row>
      <xdr:rowOff>103309</xdr:rowOff>
    </xdr:from>
    <xdr:to>
      <xdr:col>7</xdr:col>
      <xdr:colOff>475518</xdr:colOff>
      <xdr:row>4</xdr:row>
      <xdr:rowOff>131885</xdr:rowOff>
    </xdr:to>
    <xdr:pic>
      <xdr:nvPicPr>
        <xdr:cNvPr id="4" name="Imagem 4" descr="brasao_oficial_pequen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14618" y="103309"/>
          <a:ext cx="914400" cy="86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63913</xdr:colOff>
      <xdr:row>1</xdr:row>
      <xdr:rowOff>0</xdr:rowOff>
    </xdr:from>
    <xdr:to>
      <xdr:col>1</xdr:col>
      <xdr:colOff>904875</xdr:colOff>
      <xdr:row>3</xdr:row>
      <xdr:rowOff>165507</xdr:rowOff>
    </xdr:to>
    <xdr:pic>
      <xdr:nvPicPr>
        <xdr:cNvPr id="2" name="Imagem 3" descr="bandeira GASPA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3" y="247650"/>
          <a:ext cx="1183862" cy="622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113568</xdr:colOff>
      <xdr:row>0</xdr:row>
      <xdr:rowOff>103309</xdr:rowOff>
    </xdr:from>
    <xdr:to>
      <xdr:col>7</xdr:col>
      <xdr:colOff>542193</xdr:colOff>
      <xdr:row>3</xdr:row>
      <xdr:rowOff>208085</xdr:rowOff>
    </xdr:to>
    <xdr:pic>
      <xdr:nvPicPr>
        <xdr:cNvPr id="3" name="Imagem 4" descr="brasao_oficial_pequen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2493" y="103309"/>
          <a:ext cx="1143000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topLeftCell="A22" workbookViewId="0">
      <selection activeCell="C5" sqref="C5"/>
    </sheetView>
  </sheetViews>
  <sheetFormatPr defaultRowHeight="15" x14ac:dyDescent="0.25"/>
  <cols>
    <col min="1" max="1" width="6.42578125" customWidth="1"/>
    <col min="2" max="2" width="15.140625" customWidth="1"/>
    <col min="3" max="3" width="69.28515625" style="6" customWidth="1"/>
    <col min="4" max="4" width="7.5703125" style="91" customWidth="1"/>
    <col min="5" max="5" width="10.5703125" style="11" customWidth="1"/>
    <col min="6" max="6" width="12.140625" style="11" customWidth="1"/>
    <col min="7" max="7" width="11.42578125" style="11" customWidth="1"/>
    <col min="8" max="8" width="13.7109375" style="73" bestFit="1" customWidth="1"/>
  </cols>
  <sheetData>
    <row r="1" spans="1:18" ht="15" customHeight="1" x14ac:dyDescent="0.25">
      <c r="A1" s="163"/>
      <c r="B1" s="164"/>
      <c r="C1" s="55" t="s">
        <v>27</v>
      </c>
      <c r="D1" s="80"/>
      <c r="E1" s="56"/>
      <c r="F1" s="56"/>
      <c r="G1" s="56"/>
      <c r="H1" s="62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x14ac:dyDescent="0.25">
      <c r="A2" s="165"/>
      <c r="B2" s="166"/>
      <c r="C2" s="46" t="s">
        <v>28</v>
      </c>
      <c r="D2" s="81"/>
      <c r="E2" s="25"/>
      <c r="F2" s="25"/>
      <c r="G2" s="25"/>
      <c r="H2" s="63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5">
      <c r="A3" s="165"/>
      <c r="B3" s="166"/>
      <c r="C3" s="169" t="s">
        <v>237</v>
      </c>
      <c r="D3" s="81"/>
      <c r="E3" s="25"/>
      <c r="F3" s="25"/>
      <c r="G3" s="25"/>
      <c r="H3" s="63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" x14ac:dyDescent="0.25">
      <c r="A4" s="165"/>
      <c r="B4" s="166"/>
      <c r="C4" s="169"/>
      <c r="D4" s="81"/>
      <c r="E4" s="25"/>
      <c r="F4" s="25"/>
      <c r="G4" s="25"/>
      <c r="H4" s="6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10" customFormat="1" ht="18" x14ac:dyDescent="0.25">
      <c r="A5" s="165"/>
      <c r="B5" s="166"/>
      <c r="C5" s="47" t="s">
        <v>282</v>
      </c>
      <c r="D5" s="81"/>
      <c r="E5" s="25"/>
      <c r="F5" s="25"/>
      <c r="G5" s="25"/>
      <c r="H5" s="63"/>
    </row>
    <row r="6" spans="1:18" ht="18" customHeight="1" x14ac:dyDescent="0.25">
      <c r="A6" s="167"/>
      <c r="B6" s="168"/>
      <c r="C6" s="57" t="s">
        <v>84</v>
      </c>
      <c r="D6" s="82"/>
      <c r="E6" s="58" t="s">
        <v>0</v>
      </c>
      <c r="F6" s="59">
        <v>0.26850000000000002</v>
      </c>
      <c r="G6" s="60"/>
      <c r="H6" s="6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3" x14ac:dyDescent="0.25">
      <c r="A7" s="48" t="s">
        <v>1</v>
      </c>
      <c r="B7" s="49" t="s">
        <v>2</v>
      </c>
      <c r="C7" s="50" t="s">
        <v>3</v>
      </c>
      <c r="D7" s="83" t="s">
        <v>10</v>
      </c>
      <c r="E7" s="51" t="s">
        <v>4</v>
      </c>
      <c r="F7" s="52" t="s">
        <v>5</v>
      </c>
      <c r="G7" s="52" t="s">
        <v>6</v>
      </c>
      <c r="H7" s="64" t="s">
        <v>7</v>
      </c>
      <c r="I7" s="3"/>
      <c r="J7" s="3"/>
      <c r="K7" s="3"/>
      <c r="L7" s="3"/>
      <c r="M7" s="3"/>
      <c r="N7" s="3"/>
      <c r="O7" s="3"/>
      <c r="P7" s="3"/>
      <c r="Q7" s="171"/>
      <c r="R7" s="171"/>
    </row>
    <row r="8" spans="1:18" s="12" customFormat="1" ht="16.5" x14ac:dyDescent="0.25">
      <c r="A8" s="53" t="s">
        <v>8</v>
      </c>
      <c r="B8" s="28"/>
      <c r="C8" s="29" t="s">
        <v>40</v>
      </c>
      <c r="D8" s="84"/>
      <c r="E8" s="30"/>
      <c r="F8" s="30"/>
      <c r="G8" s="30"/>
      <c r="H8" s="65"/>
    </row>
    <row r="9" spans="1:18" s="12" customFormat="1" ht="33" x14ac:dyDescent="0.25">
      <c r="A9" s="54" t="s">
        <v>9</v>
      </c>
      <c r="B9" s="92" t="s">
        <v>42</v>
      </c>
      <c r="C9" s="93" t="s">
        <v>218</v>
      </c>
      <c r="D9" s="85" t="s">
        <v>34</v>
      </c>
      <c r="E9" s="32">
        <f>50.64*2.2</f>
        <v>111.40800000000002</v>
      </c>
      <c r="F9" s="33">
        <v>21.58</v>
      </c>
      <c r="G9" s="33">
        <f>ROUND(F9*1.2685,2)</f>
        <v>27.37</v>
      </c>
      <c r="H9" s="66">
        <f>ROUND(G9*E9,2)</f>
        <v>3049.24</v>
      </c>
      <c r="J9" s="4"/>
    </row>
    <row r="10" spans="1:18" s="12" customFormat="1" ht="15" customHeight="1" x14ac:dyDescent="0.25">
      <c r="A10" s="170" t="s">
        <v>36</v>
      </c>
      <c r="B10" s="170"/>
      <c r="C10" s="170"/>
      <c r="D10" s="170"/>
      <c r="E10" s="170"/>
      <c r="F10" s="170"/>
      <c r="G10" s="170"/>
      <c r="H10" s="67">
        <f>SUM(H9:H9,)</f>
        <v>3049.24</v>
      </c>
    </row>
    <row r="11" spans="1:18" s="9" customFormat="1" ht="16.5" x14ac:dyDescent="0.25">
      <c r="A11" s="53" t="s">
        <v>11</v>
      </c>
      <c r="B11" s="28"/>
      <c r="C11" s="29" t="s">
        <v>156</v>
      </c>
      <c r="D11" s="84"/>
      <c r="E11" s="30"/>
      <c r="F11" s="30"/>
      <c r="G11" s="34"/>
      <c r="H11" s="65"/>
      <c r="I11" s="146"/>
      <c r="J11" s="146"/>
    </row>
    <row r="12" spans="1:18" s="145" customFormat="1" ht="27" x14ac:dyDescent="0.25">
      <c r="A12" s="104" t="s">
        <v>12</v>
      </c>
      <c r="B12" s="95" t="s">
        <v>233</v>
      </c>
      <c r="C12" s="35" t="s">
        <v>111</v>
      </c>
      <c r="D12" s="94" t="s">
        <v>34</v>
      </c>
      <c r="E12" s="37">
        <f>5.19+4.94+50.4+7.65+50.84+25.9+48.05</f>
        <v>192.97000000000003</v>
      </c>
      <c r="F12" s="37">
        <f>3.87*1.1138</f>
        <v>4.3104059999999995</v>
      </c>
      <c r="G12" s="37">
        <f t="shared" ref="G12:G14" si="0">ROUND(F12*1.2685,2)</f>
        <v>5.47</v>
      </c>
      <c r="H12" s="105">
        <f t="shared" ref="H12:H14" si="1">ROUND(G12*E12,2)</f>
        <v>1055.55</v>
      </c>
    </row>
    <row r="13" spans="1:18" s="74" customFormat="1" ht="16.5" x14ac:dyDescent="0.25">
      <c r="A13" s="104" t="s">
        <v>15</v>
      </c>
      <c r="B13" s="92" t="s">
        <v>101</v>
      </c>
      <c r="C13" s="35" t="s">
        <v>100</v>
      </c>
      <c r="D13" s="94" t="s">
        <v>34</v>
      </c>
      <c r="E13" s="37">
        <v>308.13</v>
      </c>
      <c r="F13" s="36">
        <v>2.5</v>
      </c>
      <c r="G13" s="33">
        <f t="shared" si="0"/>
        <v>3.17</v>
      </c>
      <c r="H13" s="66">
        <f t="shared" si="1"/>
        <v>976.77</v>
      </c>
      <c r="I13" s="106"/>
      <c r="J13" s="106"/>
    </row>
    <row r="14" spans="1:18" s="13" customFormat="1" ht="33" customHeight="1" x14ac:dyDescent="0.25">
      <c r="A14" s="104" t="s">
        <v>52</v>
      </c>
      <c r="B14" s="96" t="s">
        <v>99</v>
      </c>
      <c r="C14" s="35" t="s">
        <v>219</v>
      </c>
      <c r="D14" s="94" t="s">
        <v>34</v>
      </c>
      <c r="E14" s="37">
        <v>308.13</v>
      </c>
      <c r="F14" s="38">
        <f>16.76*1.1138</f>
        <v>18.667287999999999</v>
      </c>
      <c r="G14" s="37">
        <f t="shared" si="0"/>
        <v>23.68</v>
      </c>
      <c r="H14" s="66">
        <f t="shared" si="1"/>
        <v>7296.52</v>
      </c>
      <c r="I14" s="145"/>
      <c r="J14" s="145"/>
      <c r="K14" s="145"/>
      <c r="L14" s="145"/>
    </row>
    <row r="15" spans="1:18" s="74" customFormat="1" ht="33" x14ac:dyDescent="0.25">
      <c r="A15" s="104" t="s">
        <v>53</v>
      </c>
      <c r="B15" s="92" t="s">
        <v>58</v>
      </c>
      <c r="C15" s="35" t="s">
        <v>138</v>
      </c>
      <c r="D15" s="85" t="s">
        <v>96</v>
      </c>
      <c r="E15" s="37">
        <v>1</v>
      </c>
      <c r="F15" s="36">
        <v>250</v>
      </c>
      <c r="G15" s="33">
        <f t="shared" ref="G15" si="2">ROUND(F15*1.2685,2)</f>
        <v>317.13</v>
      </c>
      <c r="H15" s="66">
        <f t="shared" ref="H15" si="3">ROUND(G15*E15,2)</f>
        <v>317.13</v>
      </c>
      <c r="I15" s="106"/>
      <c r="J15" s="106"/>
      <c r="K15" s="106"/>
      <c r="L15" s="106"/>
      <c r="M15" s="106"/>
      <c r="N15" s="106"/>
      <c r="O15" s="106"/>
      <c r="P15" s="106"/>
    </row>
    <row r="16" spans="1:18" s="14" customFormat="1" ht="16.5" x14ac:dyDescent="0.25">
      <c r="A16" s="104" t="s">
        <v>54</v>
      </c>
      <c r="B16" s="92" t="s">
        <v>103</v>
      </c>
      <c r="C16" s="35" t="s">
        <v>102</v>
      </c>
      <c r="D16" s="86" t="s">
        <v>50</v>
      </c>
      <c r="E16" s="33">
        <f>(0.35*2.05*0.6)+(0.2*0.25*1.35)+(0.2*0.25*1.35)+(0.35*2.05*0.6)+(0.2*0.2*1.35)</f>
        <v>1.0499999999999998</v>
      </c>
      <c r="F16" s="36">
        <v>80.03</v>
      </c>
      <c r="G16" s="33">
        <f t="shared" ref="G16:G18" si="4">ROUND(F16*1.2685,2)</f>
        <v>101.52</v>
      </c>
      <c r="H16" s="66">
        <f t="shared" ref="H16:H18" si="5">ROUND(G16*E16,2)</f>
        <v>106.6</v>
      </c>
      <c r="I16" s="106"/>
      <c r="J16" s="106"/>
      <c r="K16" s="106"/>
      <c r="L16" s="106"/>
      <c r="M16" s="106"/>
      <c r="N16" s="106"/>
      <c r="O16" s="106"/>
      <c r="P16" s="106"/>
    </row>
    <row r="17" spans="1:16" s="15" customFormat="1" ht="27" x14ac:dyDescent="0.25">
      <c r="A17" s="104" t="s">
        <v>165</v>
      </c>
      <c r="B17" s="92" t="s">
        <v>105</v>
      </c>
      <c r="C17" s="31" t="s">
        <v>220</v>
      </c>
      <c r="D17" s="87" t="s">
        <v>34</v>
      </c>
      <c r="E17" s="39">
        <f>14.68+16.74</f>
        <v>31.419999999999998</v>
      </c>
      <c r="F17" s="33">
        <f>19.8*1.1138</f>
        <v>22.053239999999999</v>
      </c>
      <c r="G17" s="33">
        <f t="shared" ref="G17" si="6">ROUND(F17*1.2685,2)</f>
        <v>27.97</v>
      </c>
      <c r="H17" s="68">
        <f>ROUND(G17*E17,2)</f>
        <v>878.82</v>
      </c>
      <c r="I17" s="107"/>
      <c r="J17" s="108"/>
      <c r="K17" s="107"/>
      <c r="L17" s="107"/>
      <c r="M17" s="107"/>
      <c r="N17" s="107"/>
      <c r="O17" s="107"/>
      <c r="P17" s="107"/>
    </row>
    <row r="18" spans="1:16" s="15" customFormat="1" ht="27" x14ac:dyDescent="0.25">
      <c r="A18" s="104" t="s">
        <v>68</v>
      </c>
      <c r="B18" s="92" t="s">
        <v>107</v>
      </c>
      <c r="C18" s="31" t="s">
        <v>221</v>
      </c>
      <c r="D18" s="87" t="s">
        <v>34</v>
      </c>
      <c r="E18" s="39">
        <f>48.05+50.4+4.33+4.2</f>
        <v>106.97999999999999</v>
      </c>
      <c r="F18" s="33">
        <f>8.54*1.1138</f>
        <v>9.5118519999999975</v>
      </c>
      <c r="G18" s="33">
        <f t="shared" si="4"/>
        <v>12.07</v>
      </c>
      <c r="H18" s="68">
        <f t="shared" si="5"/>
        <v>1291.25</v>
      </c>
      <c r="I18" s="107"/>
      <c r="J18" s="108"/>
      <c r="K18" s="107"/>
      <c r="L18" s="107"/>
      <c r="M18" s="107"/>
      <c r="N18" s="107"/>
      <c r="O18" s="107"/>
      <c r="P18" s="107"/>
    </row>
    <row r="19" spans="1:16" s="106" customFormat="1" ht="27" x14ac:dyDescent="0.25">
      <c r="A19" s="104" t="s">
        <v>69</v>
      </c>
      <c r="B19" s="92" t="s">
        <v>234</v>
      </c>
      <c r="C19" s="35" t="s">
        <v>235</v>
      </c>
      <c r="D19" s="94" t="s">
        <v>35</v>
      </c>
      <c r="E19" s="33">
        <v>8</v>
      </c>
      <c r="F19" s="33">
        <f>77.55*1.1138</f>
        <v>86.375189999999989</v>
      </c>
      <c r="G19" s="33">
        <f>ROUND(F19*1.2685,2)</f>
        <v>109.57</v>
      </c>
      <c r="H19" s="105">
        <f>ROUND(G19*E19,2)</f>
        <v>876.56</v>
      </c>
    </row>
    <row r="20" spans="1:16" s="101" customFormat="1" ht="35.25" customHeight="1" x14ac:dyDescent="0.25">
      <c r="A20" s="104" t="s">
        <v>70</v>
      </c>
      <c r="B20" s="92" t="s">
        <v>154</v>
      </c>
      <c r="C20" s="35" t="s">
        <v>238</v>
      </c>
      <c r="D20" s="85" t="s">
        <v>34</v>
      </c>
      <c r="E20" s="33">
        <f>8+5.4+8+4.5+1.5+5.05+0.6</f>
        <v>33.049999999999997</v>
      </c>
      <c r="F20" s="36">
        <f>6.93*1.1138</f>
        <v>7.7186339999999989</v>
      </c>
      <c r="G20" s="33">
        <f t="shared" ref="G20" si="7">ROUND(F20*1.2685,2)</f>
        <v>9.7899999999999991</v>
      </c>
      <c r="H20" s="66">
        <f>ROUND(G20*E20,2)</f>
        <v>323.56</v>
      </c>
      <c r="I20" s="106"/>
      <c r="J20" s="106"/>
      <c r="K20" s="106"/>
      <c r="L20" s="106"/>
      <c r="M20" s="106"/>
      <c r="N20" s="106"/>
      <c r="O20" s="106"/>
      <c r="P20" s="106"/>
    </row>
    <row r="21" spans="1:16" s="147" customFormat="1" ht="35.25" customHeight="1" x14ac:dyDescent="0.25">
      <c r="A21" s="104" t="s">
        <v>87</v>
      </c>
      <c r="B21" s="92" t="s">
        <v>257</v>
      </c>
      <c r="C21" s="35" t="s">
        <v>258</v>
      </c>
      <c r="D21" s="85" t="s">
        <v>50</v>
      </c>
      <c r="E21" s="33">
        <f>308.13*0.15</f>
        <v>46.219499999999996</v>
      </c>
      <c r="F21" s="36">
        <v>19.690000000000001</v>
      </c>
      <c r="G21" s="33">
        <f t="shared" ref="G21" si="8">ROUND(F21*1.2685,2)</f>
        <v>24.98</v>
      </c>
      <c r="H21" s="66">
        <f>ROUND(G21*E21,2)</f>
        <v>1154.56</v>
      </c>
      <c r="I21" s="106"/>
      <c r="J21" s="106"/>
      <c r="K21" s="106"/>
      <c r="L21" s="106"/>
      <c r="M21" s="106"/>
      <c r="N21" s="106"/>
      <c r="O21" s="106"/>
      <c r="P21" s="106"/>
    </row>
    <row r="22" spans="1:16" s="9" customFormat="1" ht="15.75" customHeight="1" x14ac:dyDescent="0.25">
      <c r="A22" s="170" t="s">
        <v>37</v>
      </c>
      <c r="B22" s="170"/>
      <c r="C22" s="170"/>
      <c r="D22" s="170"/>
      <c r="E22" s="170"/>
      <c r="F22" s="170"/>
      <c r="G22" s="170"/>
      <c r="H22" s="67">
        <f>SUM(H12:H21,)</f>
        <v>14277.319999999998</v>
      </c>
      <c r="I22" s="146"/>
      <c r="J22" s="146"/>
      <c r="K22" s="146"/>
      <c r="L22" s="146"/>
      <c r="M22" s="146"/>
      <c r="N22" s="146"/>
      <c r="O22" s="146"/>
      <c r="P22" s="146"/>
    </row>
    <row r="23" spans="1:16" s="9" customFormat="1" ht="16.5" x14ac:dyDescent="0.25">
      <c r="A23" s="53" t="s">
        <v>16</v>
      </c>
      <c r="B23" s="28"/>
      <c r="C23" s="29" t="s">
        <v>14</v>
      </c>
      <c r="D23" s="84"/>
      <c r="E23" s="30"/>
      <c r="F23" s="30"/>
      <c r="G23" s="34"/>
      <c r="H23" s="65"/>
      <c r="L23" s="146"/>
      <c r="M23" s="146"/>
      <c r="N23" s="146"/>
      <c r="O23" s="146"/>
      <c r="P23" s="146"/>
    </row>
    <row r="24" spans="1:16" s="13" customFormat="1" ht="33" x14ac:dyDescent="0.25">
      <c r="A24" s="44" t="s">
        <v>17</v>
      </c>
      <c r="B24" s="95" t="s">
        <v>112</v>
      </c>
      <c r="C24" s="40" t="s">
        <v>113</v>
      </c>
      <c r="D24" s="86" t="s">
        <v>34</v>
      </c>
      <c r="E24" s="37">
        <f>(2.05*0.6*2)+(0.2*0.25*3)+8+5.4+8+4.5+1.5+5.05+0.6</f>
        <v>35.659999999999997</v>
      </c>
      <c r="F24" s="38">
        <f>23.1*1.1138</f>
        <v>25.72878</v>
      </c>
      <c r="G24" s="37">
        <f>ROUND(F24*1.2685,2)</f>
        <v>32.64</v>
      </c>
      <c r="H24" s="66">
        <f>ROUND(G24*E24,2)</f>
        <v>1163.94</v>
      </c>
    </row>
    <row r="25" spans="1:16" s="17" customFormat="1" ht="33" x14ac:dyDescent="0.25">
      <c r="A25" s="44" t="s">
        <v>166</v>
      </c>
      <c r="B25" s="92" t="s">
        <v>66</v>
      </c>
      <c r="C25" s="31" t="s">
        <v>222</v>
      </c>
      <c r="D25" s="86" t="s">
        <v>34</v>
      </c>
      <c r="E25" s="33">
        <v>31.42</v>
      </c>
      <c r="F25" s="36">
        <f>69.9*1.1138</f>
        <v>77.854619999999997</v>
      </c>
      <c r="G25" s="33">
        <f>ROUND(F25*1.2685,2)</f>
        <v>98.76</v>
      </c>
      <c r="H25" s="66">
        <f>ROUND(G25*E25,2)</f>
        <v>3103.04</v>
      </c>
    </row>
    <row r="26" spans="1:16" s="15" customFormat="1" ht="33" x14ac:dyDescent="0.25">
      <c r="A26" s="44" t="s">
        <v>51</v>
      </c>
      <c r="B26" s="92" t="s">
        <v>114</v>
      </c>
      <c r="C26" s="31" t="s">
        <v>260</v>
      </c>
      <c r="D26" s="87" t="s">
        <v>34</v>
      </c>
      <c r="E26" s="39">
        <f>48.05+50.4+4.33+4.2</f>
        <v>106.97999999999999</v>
      </c>
      <c r="F26" s="33">
        <f>63.12*1.1138</f>
        <v>70.303055999999998</v>
      </c>
      <c r="G26" s="33">
        <f t="shared" ref="G26" si="9">ROUND(F26*1.2685,2)</f>
        <v>89.18</v>
      </c>
      <c r="H26" s="68">
        <f t="shared" ref="H26" si="10">ROUND(G26*E26,2)</f>
        <v>9540.48</v>
      </c>
      <c r="J26" s="16"/>
    </row>
    <row r="27" spans="1:16" s="15" customFormat="1" ht="33" x14ac:dyDescent="0.25">
      <c r="A27" s="44" t="s">
        <v>63</v>
      </c>
      <c r="B27" s="92" t="s">
        <v>116</v>
      </c>
      <c r="C27" s="31" t="s">
        <v>259</v>
      </c>
      <c r="D27" s="87" t="s">
        <v>35</v>
      </c>
      <c r="E27" s="39">
        <f>25.9+28+7.96</f>
        <v>61.86</v>
      </c>
      <c r="F27" s="33">
        <f>8.21*1.1138</f>
        <v>9.1442980000000009</v>
      </c>
      <c r="G27" s="33">
        <f t="shared" ref="G27" si="11">ROUND(F27*1.2685,2)</f>
        <v>11.6</v>
      </c>
      <c r="H27" s="68">
        <f t="shared" ref="H27" si="12">ROUND(G27*E27,2)</f>
        <v>717.58</v>
      </c>
      <c r="J27" s="16"/>
    </row>
    <row r="28" spans="1:16" s="15" customFormat="1" ht="33" x14ac:dyDescent="0.25">
      <c r="A28" s="44" t="s">
        <v>71</v>
      </c>
      <c r="B28" s="92" t="s">
        <v>164</v>
      </c>
      <c r="C28" s="31" t="s">
        <v>239</v>
      </c>
      <c r="D28" s="87" t="s">
        <v>34</v>
      </c>
      <c r="E28" s="39">
        <f>145.38*0.3</f>
        <v>43.613999999999997</v>
      </c>
      <c r="F28" s="33">
        <f>18.91*1.1138</f>
        <v>21.061957999999997</v>
      </c>
      <c r="G28" s="33">
        <f t="shared" ref="G28" si="13">ROUND(F28*1.2685,2)</f>
        <v>26.72</v>
      </c>
      <c r="H28" s="68">
        <f t="shared" ref="H28" si="14">ROUND(G28*E28,2)</f>
        <v>1165.3699999999999</v>
      </c>
      <c r="J28" s="16"/>
    </row>
    <row r="29" spans="1:16" s="12" customFormat="1" ht="16.5" x14ac:dyDescent="0.25">
      <c r="A29" s="170" t="s">
        <v>38</v>
      </c>
      <c r="B29" s="170"/>
      <c r="C29" s="170"/>
      <c r="D29" s="170"/>
      <c r="E29" s="170"/>
      <c r="F29" s="170"/>
      <c r="G29" s="170"/>
      <c r="H29" s="67">
        <f>SUM(H24:H28,)</f>
        <v>15690.41</v>
      </c>
    </row>
    <row r="30" spans="1:16" s="12" customFormat="1" ht="16.5" x14ac:dyDescent="0.25">
      <c r="A30" s="53" t="s">
        <v>18</v>
      </c>
      <c r="B30" s="28"/>
      <c r="C30" s="29" t="s">
        <v>23</v>
      </c>
      <c r="D30" s="84"/>
      <c r="E30" s="30"/>
      <c r="F30" s="30"/>
      <c r="G30" s="34"/>
      <c r="H30" s="65"/>
    </row>
    <row r="31" spans="1:16" s="107" customFormat="1" ht="33" x14ac:dyDescent="0.25">
      <c r="A31" s="112" t="s">
        <v>19</v>
      </c>
      <c r="B31" s="113" t="s">
        <v>58</v>
      </c>
      <c r="C31" s="114" t="s">
        <v>208</v>
      </c>
      <c r="D31" s="85" t="s">
        <v>96</v>
      </c>
      <c r="E31" s="115">
        <v>1</v>
      </c>
      <c r="F31" s="116">
        <v>140</v>
      </c>
      <c r="G31" s="116">
        <f t="shared" ref="G31:G32" si="15">ROUND(F31*1.2685,2)</f>
        <v>177.59</v>
      </c>
      <c r="H31" s="68">
        <f t="shared" ref="H31:H32" si="16">ROUND(G31*E31,2)</f>
        <v>177.59</v>
      </c>
      <c r="J31" s="108"/>
    </row>
    <row r="32" spans="1:16" s="15" customFormat="1" ht="33" x14ac:dyDescent="0.25">
      <c r="A32" s="112" t="s">
        <v>133</v>
      </c>
      <c r="B32" s="92" t="s">
        <v>152</v>
      </c>
      <c r="C32" s="31" t="s">
        <v>153</v>
      </c>
      <c r="D32" s="85" t="s">
        <v>96</v>
      </c>
      <c r="E32" s="39">
        <v>1</v>
      </c>
      <c r="F32" s="33">
        <v>110.69</v>
      </c>
      <c r="G32" s="33">
        <f t="shared" si="15"/>
        <v>140.41</v>
      </c>
      <c r="H32" s="68">
        <f t="shared" si="16"/>
        <v>140.41</v>
      </c>
      <c r="J32" s="16"/>
    </row>
    <row r="33" spans="1:12" s="13" customFormat="1" ht="27" x14ac:dyDescent="0.25">
      <c r="A33" s="112" t="s">
        <v>134</v>
      </c>
      <c r="B33" s="95" t="s">
        <v>144</v>
      </c>
      <c r="C33" s="35" t="s">
        <v>207</v>
      </c>
      <c r="D33" s="85" t="s">
        <v>33</v>
      </c>
      <c r="E33" s="37">
        <v>2</v>
      </c>
      <c r="F33" s="38">
        <f>6.97*1.1138</f>
        <v>7.7631859999999993</v>
      </c>
      <c r="G33" s="37">
        <f t="shared" ref="G33" si="17">ROUND(F33*1.2685,2)</f>
        <v>9.85</v>
      </c>
      <c r="H33" s="66">
        <f t="shared" ref="H33" si="18">ROUND(G33*E33,2)</f>
        <v>19.7</v>
      </c>
    </row>
    <row r="34" spans="1:12" s="9" customFormat="1" ht="33" x14ac:dyDescent="0.25">
      <c r="A34" s="112" t="s">
        <v>167</v>
      </c>
      <c r="B34" s="97" t="s">
        <v>250</v>
      </c>
      <c r="C34" s="41" t="s">
        <v>251</v>
      </c>
      <c r="D34" s="85" t="s">
        <v>33</v>
      </c>
      <c r="E34" s="33">
        <v>1</v>
      </c>
      <c r="F34" s="36">
        <v>118.8</v>
      </c>
      <c r="G34" s="33">
        <f>ROUND(F34*1.2685,2)</f>
        <v>150.69999999999999</v>
      </c>
      <c r="H34" s="66">
        <f>ROUND(G34*E34,2)</f>
        <v>150.69999999999999</v>
      </c>
    </row>
    <row r="35" spans="1:12" s="13" customFormat="1" ht="33" x14ac:dyDescent="0.25">
      <c r="A35" s="112" t="s">
        <v>209</v>
      </c>
      <c r="B35" s="95" t="s">
        <v>252</v>
      </c>
      <c r="C35" s="35" t="s">
        <v>210</v>
      </c>
      <c r="D35" s="85" t="s">
        <v>35</v>
      </c>
      <c r="E35" s="37">
        <f>8+15</f>
        <v>23</v>
      </c>
      <c r="F35" s="38">
        <v>21.73</v>
      </c>
      <c r="G35" s="37">
        <f t="shared" ref="G35" si="19">ROUND(F35*1.2685,2)</f>
        <v>27.56</v>
      </c>
      <c r="H35" s="66">
        <f t="shared" ref="H35" si="20">ROUND(G35*E35,2)</f>
        <v>633.88</v>
      </c>
    </row>
    <row r="36" spans="1:12" s="9" customFormat="1" ht="33" x14ac:dyDescent="0.25">
      <c r="A36" s="112" t="s">
        <v>213</v>
      </c>
      <c r="B36" s="97" t="s">
        <v>212</v>
      </c>
      <c r="C36" s="41" t="s">
        <v>211</v>
      </c>
      <c r="D36" s="85" t="s">
        <v>33</v>
      </c>
      <c r="E36" s="33">
        <v>1</v>
      </c>
      <c r="F36" s="36">
        <v>9.14</v>
      </c>
      <c r="G36" s="33">
        <f>ROUND(F36*1.2685,2)</f>
        <v>11.59</v>
      </c>
      <c r="H36" s="66">
        <f>ROUND(G36*E36,2)</f>
        <v>11.59</v>
      </c>
    </row>
    <row r="37" spans="1:12" s="9" customFormat="1" ht="33" x14ac:dyDescent="0.25">
      <c r="A37" s="112" t="s">
        <v>214</v>
      </c>
      <c r="B37" s="97" t="s">
        <v>240</v>
      </c>
      <c r="C37" s="41" t="s">
        <v>241</v>
      </c>
      <c r="D37" s="85" t="s">
        <v>35</v>
      </c>
      <c r="E37" s="33">
        <v>1</v>
      </c>
      <c r="F37" s="36">
        <v>3.64</v>
      </c>
      <c r="G37" s="33">
        <f>ROUND(F37*1.2685,2)</f>
        <v>4.62</v>
      </c>
      <c r="H37" s="66">
        <f>ROUND(G37*E37,2)</f>
        <v>4.62</v>
      </c>
    </row>
    <row r="38" spans="1:12" s="9" customFormat="1" ht="33" x14ac:dyDescent="0.25">
      <c r="A38" s="112" t="s">
        <v>215</v>
      </c>
      <c r="B38" s="97" t="s">
        <v>242</v>
      </c>
      <c r="C38" s="41" t="s">
        <v>223</v>
      </c>
      <c r="D38" s="85" t="s">
        <v>33</v>
      </c>
      <c r="E38" s="33">
        <v>2</v>
      </c>
      <c r="F38" s="36">
        <v>3.4</v>
      </c>
      <c r="G38" s="33">
        <f>ROUND(F38*1.2685,2)</f>
        <v>4.3099999999999996</v>
      </c>
      <c r="H38" s="66">
        <f>ROUND(G38*E38,2)</f>
        <v>8.6199999999999992</v>
      </c>
    </row>
    <row r="39" spans="1:12" s="9" customFormat="1" ht="33" x14ac:dyDescent="0.25">
      <c r="A39" s="112" t="s">
        <v>216</v>
      </c>
      <c r="B39" s="97" t="s">
        <v>244</v>
      </c>
      <c r="C39" s="41" t="s">
        <v>243</v>
      </c>
      <c r="D39" s="85" t="s">
        <v>33</v>
      </c>
      <c r="E39" s="33">
        <v>1</v>
      </c>
      <c r="F39" s="36">
        <v>6.4</v>
      </c>
      <c r="G39" s="33">
        <f>ROUND(F39*1.2685,2)</f>
        <v>8.1199999999999992</v>
      </c>
      <c r="H39" s="66">
        <f>ROUND(G39*E39,2)</f>
        <v>8.1199999999999992</v>
      </c>
    </row>
    <row r="40" spans="1:12" s="9" customFormat="1" ht="16.5" x14ac:dyDescent="0.25">
      <c r="A40" s="170" t="s">
        <v>59</v>
      </c>
      <c r="B40" s="170"/>
      <c r="C40" s="170"/>
      <c r="D40" s="170"/>
      <c r="E40" s="170"/>
      <c r="F40" s="170"/>
      <c r="G40" s="170"/>
      <c r="H40" s="67">
        <f>SUM(H31:H39,)</f>
        <v>1155.2299999999996</v>
      </c>
    </row>
    <row r="41" spans="1:12" s="12" customFormat="1" ht="16.5" x14ac:dyDescent="0.25">
      <c r="A41" s="53" t="s">
        <v>20</v>
      </c>
      <c r="B41" s="28"/>
      <c r="C41" s="29" t="s">
        <v>86</v>
      </c>
      <c r="D41" s="84"/>
      <c r="E41" s="30"/>
      <c r="F41" s="30"/>
      <c r="G41" s="34"/>
      <c r="H41" s="65"/>
    </row>
    <row r="42" spans="1:12" s="76" customFormat="1" ht="82.5" x14ac:dyDescent="0.25">
      <c r="A42" s="54" t="s">
        <v>21</v>
      </c>
      <c r="B42" s="92" t="s">
        <v>249</v>
      </c>
      <c r="C42" s="31" t="s">
        <v>142</v>
      </c>
      <c r="D42" s="85" t="s">
        <v>34</v>
      </c>
      <c r="E42" s="32">
        <v>308.13</v>
      </c>
      <c r="F42" s="33">
        <f>104.46*1.1138</f>
        <v>116.34754799999999</v>
      </c>
      <c r="G42" s="33">
        <f t="shared" ref="G42:G49" si="21">ROUND(F42*1.2685,2)</f>
        <v>147.59</v>
      </c>
      <c r="H42" s="66">
        <f t="shared" ref="H42:H49" si="22">ROUND(G42*E42,2)</f>
        <v>45476.91</v>
      </c>
      <c r="J42" s="4"/>
    </row>
    <row r="43" spans="1:12" s="12" customFormat="1" ht="33" x14ac:dyDescent="0.25">
      <c r="A43" s="54" t="s">
        <v>43</v>
      </c>
      <c r="B43" s="92" t="s">
        <v>253</v>
      </c>
      <c r="C43" s="31" t="s">
        <v>254</v>
      </c>
      <c r="D43" s="86" t="s">
        <v>34</v>
      </c>
      <c r="E43" s="32">
        <v>308.13</v>
      </c>
      <c r="F43" s="42">
        <f>(65.05+7.41)*1.1138</f>
        <v>80.705947999999992</v>
      </c>
      <c r="G43" s="33">
        <f t="shared" si="21"/>
        <v>102.38</v>
      </c>
      <c r="H43" s="66">
        <f t="shared" si="22"/>
        <v>31546.35</v>
      </c>
      <c r="K43" s="3"/>
      <c r="L43" s="3"/>
    </row>
    <row r="44" spans="1:12" s="106" customFormat="1" ht="33" x14ac:dyDescent="0.25">
      <c r="A44" s="54" t="s">
        <v>44</v>
      </c>
      <c r="B44" s="92" t="s">
        <v>148</v>
      </c>
      <c r="C44" s="93" t="s">
        <v>147</v>
      </c>
      <c r="D44" s="109" t="s">
        <v>35</v>
      </c>
      <c r="E44" s="32">
        <f>12.45+13.5+10.1+14+10.1+10.95+10.25</f>
        <v>81.349999999999994</v>
      </c>
      <c r="F44" s="42">
        <f>9.27*1.1138</f>
        <v>10.324925999999998</v>
      </c>
      <c r="G44" s="33">
        <f t="shared" si="21"/>
        <v>13.1</v>
      </c>
      <c r="H44" s="105">
        <f t="shared" ref="H44" si="23">ROUND(G44*E44,2)</f>
        <v>1065.69</v>
      </c>
      <c r="K44" s="110"/>
      <c r="L44" s="110"/>
    </row>
    <row r="45" spans="1:12" s="76" customFormat="1" ht="27" x14ac:dyDescent="0.25">
      <c r="A45" s="54" t="s">
        <v>150</v>
      </c>
      <c r="B45" s="92" t="s">
        <v>145</v>
      </c>
      <c r="C45" s="31" t="s">
        <v>146</v>
      </c>
      <c r="D45" s="86" t="s">
        <v>35</v>
      </c>
      <c r="E45" s="32">
        <f>(12.45+12.45+13.5+10.1)*0.5</f>
        <v>24.25</v>
      </c>
      <c r="F45" s="42">
        <f>64.03*1.1138</f>
        <v>71.316614000000001</v>
      </c>
      <c r="G45" s="33">
        <f t="shared" si="21"/>
        <v>90.47</v>
      </c>
      <c r="H45" s="66">
        <f t="shared" si="22"/>
        <v>2193.9</v>
      </c>
      <c r="K45" s="3"/>
      <c r="L45" s="3"/>
    </row>
    <row r="46" spans="1:12" s="76" customFormat="1" ht="33" x14ac:dyDescent="0.25">
      <c r="A46" s="54" t="s">
        <v>151</v>
      </c>
      <c r="B46" s="92" t="s">
        <v>149</v>
      </c>
      <c r="C46" s="31" t="s">
        <v>248</v>
      </c>
      <c r="D46" s="86" t="s">
        <v>35</v>
      </c>
      <c r="E46" s="32">
        <f>8.95*2*0.5</f>
        <v>8.9499999999999993</v>
      </c>
      <c r="F46" s="42">
        <f>48.66*1.1138</f>
        <v>54.197507999999992</v>
      </c>
      <c r="G46" s="33">
        <f t="shared" si="21"/>
        <v>68.75</v>
      </c>
      <c r="H46" s="66">
        <f t="shared" si="22"/>
        <v>615.30999999999995</v>
      </c>
      <c r="K46" s="3"/>
      <c r="L46" s="3"/>
    </row>
    <row r="47" spans="1:12" s="111" customFormat="1" ht="27" x14ac:dyDescent="0.25">
      <c r="A47" s="54" t="s">
        <v>162</v>
      </c>
      <c r="B47" s="92" t="s">
        <v>246</v>
      </c>
      <c r="C47" s="31" t="s">
        <v>245</v>
      </c>
      <c r="D47" s="86" t="s">
        <v>35</v>
      </c>
      <c r="E47" s="32">
        <f>(10.95+11.65)*0.5</f>
        <v>11.3</v>
      </c>
      <c r="F47" s="42">
        <f>(23.42+6.18)*1.1138</f>
        <v>32.96848</v>
      </c>
      <c r="G47" s="33">
        <f t="shared" ref="G47" si="24">ROUND(F47*1.2685,2)</f>
        <v>41.82</v>
      </c>
      <c r="H47" s="66">
        <f t="shared" ref="H47" si="25">ROUND(G47*E47,2)</f>
        <v>472.57</v>
      </c>
      <c r="K47" s="3"/>
      <c r="L47" s="3"/>
    </row>
    <row r="48" spans="1:12" s="102" customFormat="1" ht="33" x14ac:dyDescent="0.25">
      <c r="A48" s="54" t="s">
        <v>168</v>
      </c>
      <c r="B48" s="92" t="s">
        <v>161</v>
      </c>
      <c r="C48" s="31" t="s">
        <v>224</v>
      </c>
      <c r="D48" s="86" t="s">
        <v>34</v>
      </c>
      <c r="E48" s="32">
        <f>(89+80+80+10.6)*0.7</f>
        <v>181.72</v>
      </c>
      <c r="F48" s="42">
        <v>11.73</v>
      </c>
      <c r="G48" s="33">
        <f t="shared" si="21"/>
        <v>14.88</v>
      </c>
      <c r="H48" s="66">
        <f t="shared" si="22"/>
        <v>2703.99</v>
      </c>
      <c r="K48" s="3"/>
      <c r="L48" s="3"/>
    </row>
    <row r="49" spans="1:12" s="102" customFormat="1" ht="27" x14ac:dyDescent="0.25">
      <c r="A49" s="54" t="s">
        <v>247</v>
      </c>
      <c r="B49" s="92" t="s">
        <v>236</v>
      </c>
      <c r="C49" s="31" t="s">
        <v>163</v>
      </c>
      <c r="D49" s="86" t="s">
        <v>34</v>
      </c>
      <c r="E49" s="32">
        <f>13.1*0.6</f>
        <v>7.8599999999999994</v>
      </c>
      <c r="F49" s="42">
        <f>95.59*1.1138</f>
        <v>106.468142</v>
      </c>
      <c r="G49" s="33">
        <f t="shared" si="21"/>
        <v>135.05000000000001</v>
      </c>
      <c r="H49" s="66">
        <f t="shared" si="22"/>
        <v>1061.49</v>
      </c>
      <c r="K49" s="3"/>
      <c r="L49" s="3"/>
    </row>
    <row r="50" spans="1:12" s="12" customFormat="1" ht="15" customHeight="1" x14ac:dyDescent="0.25">
      <c r="A50" s="170" t="s">
        <v>39</v>
      </c>
      <c r="B50" s="170"/>
      <c r="C50" s="170"/>
      <c r="D50" s="170"/>
      <c r="E50" s="170"/>
      <c r="F50" s="170"/>
      <c r="G50" s="170"/>
      <c r="H50" s="67">
        <f>SUM(H42:H49,)</f>
        <v>85136.210000000021</v>
      </c>
      <c r="I50" s="76"/>
    </row>
    <row r="51" spans="1:12" s="12" customFormat="1" ht="16.5" x14ac:dyDescent="0.25">
      <c r="A51" s="53" t="s">
        <v>22</v>
      </c>
      <c r="B51" s="28"/>
      <c r="C51" s="29" t="s">
        <v>41</v>
      </c>
      <c r="D51" s="84"/>
      <c r="E51" s="30"/>
      <c r="F51" s="30"/>
      <c r="G51" s="30"/>
      <c r="H51" s="65"/>
    </row>
    <row r="52" spans="1:12" s="12" customFormat="1" ht="16.5" x14ac:dyDescent="0.25">
      <c r="A52" s="54" t="s">
        <v>24</v>
      </c>
      <c r="B52" s="92" t="s">
        <v>255</v>
      </c>
      <c r="C52" s="31" t="s">
        <v>261</v>
      </c>
      <c r="D52" s="85" t="s">
        <v>34</v>
      </c>
      <c r="E52" s="32">
        <f>5.19+4.94+50.4+7.65+50.84+25.9+48.05</f>
        <v>192.97000000000003</v>
      </c>
      <c r="F52" s="37">
        <v>41.75</v>
      </c>
      <c r="G52" s="37">
        <f>ROUND(F52*1.2685,2)</f>
        <v>52.96</v>
      </c>
      <c r="H52" s="66">
        <f>ROUND(G52*E52,2)</f>
        <v>10219.69</v>
      </c>
      <c r="J52" s="4"/>
    </row>
    <row r="53" spans="1:12" s="12" customFormat="1" ht="15" customHeight="1" x14ac:dyDescent="0.25">
      <c r="A53" s="170" t="s">
        <v>135</v>
      </c>
      <c r="B53" s="170"/>
      <c r="C53" s="170"/>
      <c r="D53" s="170"/>
      <c r="E53" s="170"/>
      <c r="F53" s="170"/>
      <c r="G53" s="170"/>
      <c r="H53" s="67">
        <f>SUM(H52:H52,)</f>
        <v>10219.69</v>
      </c>
    </row>
    <row r="54" spans="1:12" ht="16.5" x14ac:dyDescent="0.25">
      <c r="A54" s="53" t="s">
        <v>25</v>
      </c>
      <c r="B54" s="28"/>
      <c r="C54" s="29" t="s">
        <v>29</v>
      </c>
      <c r="D54" s="84"/>
      <c r="E54" s="30"/>
      <c r="F54" s="30"/>
      <c r="G54" s="34"/>
      <c r="H54" s="65"/>
    </row>
    <row r="55" spans="1:12" s="20" customFormat="1" ht="33" x14ac:dyDescent="0.25">
      <c r="A55" s="43" t="s">
        <v>26</v>
      </c>
      <c r="B55" s="92" t="s">
        <v>108</v>
      </c>
      <c r="C55" s="35" t="s">
        <v>262</v>
      </c>
      <c r="D55" s="85" t="s">
        <v>33</v>
      </c>
      <c r="E55" s="33">
        <v>28</v>
      </c>
      <c r="F55" s="36">
        <v>76.31</v>
      </c>
      <c r="G55" s="33">
        <f t="shared" ref="G55:G58" si="26">ROUND(F55*1.2685,2)</f>
        <v>96.8</v>
      </c>
      <c r="H55" s="66">
        <f>ROUND(G55*E55,2)</f>
        <v>2710.4</v>
      </c>
    </row>
    <row r="56" spans="1:12" s="106" customFormat="1" ht="16.5" x14ac:dyDescent="0.25">
      <c r="A56" s="43" t="s">
        <v>169</v>
      </c>
      <c r="B56" s="92" t="s">
        <v>131</v>
      </c>
      <c r="C56" s="79" t="s">
        <v>95</v>
      </c>
      <c r="D56" s="94" t="s">
        <v>96</v>
      </c>
      <c r="E56" s="37">
        <v>23</v>
      </c>
      <c r="F56" s="33">
        <v>1.05</v>
      </c>
      <c r="G56" s="33">
        <f t="shared" si="26"/>
        <v>1.33</v>
      </c>
      <c r="H56" s="105">
        <f t="shared" ref="H56:H58" si="27">ROUND(G56*E56,2)</f>
        <v>30.59</v>
      </c>
    </row>
    <row r="57" spans="1:12" s="106" customFormat="1" ht="27" x14ac:dyDescent="0.25">
      <c r="A57" s="43" t="s">
        <v>170</v>
      </c>
      <c r="B57" s="92" t="s">
        <v>67</v>
      </c>
      <c r="C57" s="35" t="s">
        <v>225</v>
      </c>
      <c r="D57" s="94" t="s">
        <v>33</v>
      </c>
      <c r="E57" s="33">
        <v>7</v>
      </c>
      <c r="F57" s="33">
        <f>9.08*1.1138</f>
        <v>10.113303999999999</v>
      </c>
      <c r="G57" s="33">
        <f t="shared" si="26"/>
        <v>12.83</v>
      </c>
      <c r="H57" s="105">
        <f t="shared" si="27"/>
        <v>89.81</v>
      </c>
    </row>
    <row r="58" spans="1:12" s="106" customFormat="1" ht="35.25" customHeight="1" x14ac:dyDescent="0.25">
      <c r="A58" s="43" t="s">
        <v>171</v>
      </c>
      <c r="B58" s="92" t="s">
        <v>48</v>
      </c>
      <c r="C58" s="35" t="s">
        <v>130</v>
      </c>
      <c r="D58" s="94" t="s">
        <v>47</v>
      </c>
      <c r="E58" s="33">
        <v>2</v>
      </c>
      <c r="F58" s="33">
        <f>242.17*1.1138</f>
        <v>269.72894599999995</v>
      </c>
      <c r="G58" s="33">
        <f t="shared" si="26"/>
        <v>342.15</v>
      </c>
      <c r="H58" s="105">
        <f t="shared" si="27"/>
        <v>684.3</v>
      </c>
    </row>
    <row r="59" spans="1:12" s="9" customFormat="1" ht="16.5" x14ac:dyDescent="0.25">
      <c r="A59" s="170" t="s">
        <v>136</v>
      </c>
      <c r="B59" s="170"/>
      <c r="C59" s="170"/>
      <c r="D59" s="170"/>
      <c r="E59" s="170"/>
      <c r="F59" s="170"/>
      <c r="G59" s="170"/>
      <c r="H59" s="67">
        <f>SUM(H55:H58,)</f>
        <v>3515.1000000000004</v>
      </c>
    </row>
    <row r="60" spans="1:12" s="24" customFormat="1" ht="16.5" x14ac:dyDescent="0.25">
      <c r="A60" s="53" t="s">
        <v>72</v>
      </c>
      <c r="B60" s="28"/>
      <c r="C60" s="29" t="s">
        <v>79</v>
      </c>
      <c r="D60" s="84"/>
      <c r="E60" s="30"/>
      <c r="F60" s="30"/>
      <c r="G60" s="34"/>
      <c r="H60" s="65"/>
    </row>
    <row r="61" spans="1:12" s="9" customFormat="1" ht="27" x14ac:dyDescent="0.25">
      <c r="A61" s="43" t="s">
        <v>31</v>
      </c>
      <c r="B61" s="97" t="s">
        <v>117</v>
      </c>
      <c r="C61" s="41" t="s">
        <v>118</v>
      </c>
      <c r="D61" s="85" t="s">
        <v>35</v>
      </c>
      <c r="E61" s="33">
        <f>2.05+2.05</f>
        <v>4.0999999999999996</v>
      </c>
      <c r="F61" s="36">
        <f>595.92*1.1138</f>
        <v>663.73569599999985</v>
      </c>
      <c r="G61" s="33">
        <f t="shared" ref="G61:G70" si="28">ROUND(F61*1.2685,2)</f>
        <v>841.95</v>
      </c>
      <c r="H61" s="66">
        <f t="shared" ref="H61:H69" si="29">ROUND(G61*E61,2)</f>
        <v>3452</v>
      </c>
    </row>
    <row r="62" spans="1:12" s="9" customFormat="1" ht="33" x14ac:dyDescent="0.25">
      <c r="A62" s="43" t="s">
        <v>90</v>
      </c>
      <c r="B62" s="97" t="s">
        <v>122</v>
      </c>
      <c r="C62" s="41" t="s">
        <v>121</v>
      </c>
      <c r="D62" s="85" t="s">
        <v>34</v>
      </c>
      <c r="E62" s="33">
        <f>(1.75*0.3)*2</f>
        <v>1.05</v>
      </c>
      <c r="F62" s="36">
        <v>238.06</v>
      </c>
      <c r="G62" s="33">
        <f t="shared" si="28"/>
        <v>301.98</v>
      </c>
      <c r="H62" s="66">
        <f>ROUND(G62*E62,2)</f>
        <v>317.08</v>
      </c>
    </row>
    <row r="63" spans="1:12" s="103" customFormat="1" ht="16.5" x14ac:dyDescent="0.25">
      <c r="A63" s="43" t="s">
        <v>91</v>
      </c>
      <c r="B63" s="92" t="s">
        <v>58</v>
      </c>
      <c r="C63" s="35" t="s">
        <v>120</v>
      </c>
      <c r="D63" s="85" t="s">
        <v>33</v>
      </c>
      <c r="E63" s="37">
        <v>10</v>
      </c>
      <c r="F63" s="36">
        <v>49.97</v>
      </c>
      <c r="G63" s="33">
        <f t="shared" si="28"/>
        <v>63.39</v>
      </c>
      <c r="H63" s="66">
        <f t="shared" si="29"/>
        <v>633.9</v>
      </c>
    </row>
    <row r="64" spans="1:12" s="9" customFormat="1" ht="33" x14ac:dyDescent="0.25">
      <c r="A64" s="43" t="s">
        <v>92</v>
      </c>
      <c r="B64" s="97" t="s">
        <v>58</v>
      </c>
      <c r="C64" s="41" t="s">
        <v>263</v>
      </c>
      <c r="D64" s="85" t="s">
        <v>33</v>
      </c>
      <c r="E64" s="33">
        <v>3</v>
      </c>
      <c r="F64" s="36">
        <v>45</v>
      </c>
      <c r="G64" s="33">
        <f>ROUND(F64*1.2685,2)</f>
        <v>57.08</v>
      </c>
      <c r="H64" s="66">
        <f>ROUND(G64*E64,2)</f>
        <v>171.24</v>
      </c>
    </row>
    <row r="65" spans="1:11" s="9" customFormat="1" ht="16.5" x14ac:dyDescent="0.25">
      <c r="A65" s="43" t="s">
        <v>137</v>
      </c>
      <c r="B65" s="97" t="s">
        <v>58</v>
      </c>
      <c r="C65" s="41" t="s">
        <v>226</v>
      </c>
      <c r="D65" s="85" t="s">
        <v>33</v>
      </c>
      <c r="E65" s="33">
        <v>2</v>
      </c>
      <c r="F65" s="36">
        <v>29.15</v>
      </c>
      <c r="G65" s="33">
        <f t="shared" si="28"/>
        <v>36.979999999999997</v>
      </c>
      <c r="H65" s="66">
        <f t="shared" si="29"/>
        <v>73.959999999999994</v>
      </c>
    </row>
    <row r="66" spans="1:11" s="9" customFormat="1" ht="19.5" customHeight="1" x14ac:dyDescent="0.25">
      <c r="A66" s="148" t="s">
        <v>159</v>
      </c>
      <c r="B66" s="149" t="s">
        <v>58</v>
      </c>
      <c r="C66" s="150" t="s">
        <v>227</v>
      </c>
      <c r="D66" s="151" t="s">
        <v>33</v>
      </c>
      <c r="E66" s="152">
        <v>3</v>
      </c>
      <c r="F66" s="153">
        <f>49.9+4.84</f>
        <v>54.739999999999995</v>
      </c>
      <c r="G66" s="152">
        <f t="shared" si="28"/>
        <v>69.44</v>
      </c>
      <c r="H66" s="154">
        <f t="shared" si="29"/>
        <v>208.32</v>
      </c>
    </row>
    <row r="67" spans="1:11" s="9" customFormat="1" ht="19.5" customHeight="1" x14ac:dyDescent="0.25">
      <c r="A67" s="43" t="s">
        <v>160</v>
      </c>
      <c r="B67" s="97" t="s">
        <v>58</v>
      </c>
      <c r="C67" s="41" t="s">
        <v>228</v>
      </c>
      <c r="D67" s="85" t="s">
        <v>33</v>
      </c>
      <c r="E67" s="33">
        <v>4</v>
      </c>
      <c r="F67" s="36">
        <v>14.35</v>
      </c>
      <c r="G67" s="33">
        <f t="shared" si="28"/>
        <v>18.2</v>
      </c>
      <c r="H67" s="66">
        <f t="shared" si="29"/>
        <v>72.8</v>
      </c>
    </row>
    <row r="68" spans="1:11" s="9" customFormat="1" ht="16.5" x14ac:dyDescent="0.25">
      <c r="A68" s="43" t="s">
        <v>172</v>
      </c>
      <c r="B68" s="97" t="s">
        <v>58</v>
      </c>
      <c r="C68" s="41" t="s">
        <v>155</v>
      </c>
      <c r="D68" s="85" t="s">
        <v>33</v>
      </c>
      <c r="E68" s="33">
        <v>1</v>
      </c>
      <c r="F68" s="36">
        <v>128</v>
      </c>
      <c r="G68" s="33">
        <f t="shared" si="28"/>
        <v>162.37</v>
      </c>
      <c r="H68" s="66">
        <f t="shared" si="29"/>
        <v>162.37</v>
      </c>
    </row>
    <row r="69" spans="1:11" s="9" customFormat="1" ht="16.5" x14ac:dyDescent="0.25">
      <c r="A69" s="43" t="s">
        <v>173</v>
      </c>
      <c r="B69" s="97" t="s">
        <v>157</v>
      </c>
      <c r="C69" s="41" t="s">
        <v>158</v>
      </c>
      <c r="D69" s="85" t="s">
        <v>33</v>
      </c>
      <c r="E69" s="33">
        <v>1</v>
      </c>
      <c r="F69" s="36">
        <v>40.840000000000003</v>
      </c>
      <c r="G69" s="33">
        <f t="shared" si="28"/>
        <v>51.81</v>
      </c>
      <c r="H69" s="66">
        <f t="shared" si="29"/>
        <v>51.81</v>
      </c>
    </row>
    <row r="70" spans="1:11" s="9" customFormat="1" ht="16.5" x14ac:dyDescent="0.25">
      <c r="A70" s="43" t="s">
        <v>217</v>
      </c>
      <c r="B70" s="97" t="s">
        <v>58</v>
      </c>
      <c r="C70" s="41" t="s">
        <v>174</v>
      </c>
      <c r="D70" s="85" t="s">
        <v>33</v>
      </c>
      <c r="E70" s="33">
        <v>1</v>
      </c>
      <c r="F70" s="36">
        <v>150.30000000000001</v>
      </c>
      <c r="G70" s="33">
        <f t="shared" si="28"/>
        <v>190.66</v>
      </c>
      <c r="H70" s="66">
        <f t="shared" ref="H70" si="30">ROUND(G70*E70,2)</f>
        <v>190.66</v>
      </c>
    </row>
    <row r="71" spans="1:11" s="9" customFormat="1" ht="16.5" x14ac:dyDescent="0.25">
      <c r="A71" s="170" t="s">
        <v>93</v>
      </c>
      <c r="B71" s="170"/>
      <c r="C71" s="170"/>
      <c r="D71" s="170"/>
      <c r="E71" s="170"/>
      <c r="F71" s="170"/>
      <c r="G71" s="170"/>
      <c r="H71" s="67">
        <f>SUM(H61:H70)</f>
        <v>5334.1399999999994</v>
      </c>
    </row>
    <row r="72" spans="1:11" s="103" customFormat="1" ht="16.5" x14ac:dyDescent="0.25">
      <c r="A72" s="53" t="s">
        <v>73</v>
      </c>
      <c r="B72" s="28"/>
      <c r="C72" s="29" t="s">
        <v>175</v>
      </c>
      <c r="D72" s="84"/>
      <c r="E72" s="30"/>
      <c r="F72" s="30"/>
      <c r="G72" s="34"/>
      <c r="H72" s="65"/>
    </row>
    <row r="73" spans="1:11" s="9" customFormat="1" ht="16.5" x14ac:dyDescent="0.25">
      <c r="A73" s="43" t="s">
        <v>60</v>
      </c>
      <c r="B73" s="97" t="s">
        <v>198</v>
      </c>
      <c r="C73" s="41" t="s">
        <v>197</v>
      </c>
      <c r="D73" s="86" t="s">
        <v>34</v>
      </c>
      <c r="E73" s="33">
        <v>1148.8900000000001</v>
      </c>
      <c r="F73" s="36">
        <f>5.02*1.0589</f>
        <v>5.3156779999999992</v>
      </c>
      <c r="G73" s="33">
        <f>ROUND(F73*1.2685,2)</f>
        <v>6.74</v>
      </c>
      <c r="H73" s="66">
        <f>ROUND(G73*E73,2)</f>
        <v>7743.52</v>
      </c>
    </row>
    <row r="74" spans="1:11" s="9" customFormat="1" ht="16.5" x14ac:dyDescent="0.25">
      <c r="A74" s="43" t="s">
        <v>195</v>
      </c>
      <c r="B74" s="97" t="s">
        <v>200</v>
      </c>
      <c r="C74" s="41" t="s">
        <v>199</v>
      </c>
      <c r="D74" s="86" t="s">
        <v>34</v>
      </c>
      <c r="E74" s="33">
        <v>1148.8900000000001</v>
      </c>
      <c r="F74" s="36">
        <v>2.2200000000000002</v>
      </c>
      <c r="G74" s="33">
        <f>ROUND(F74*1.2685,2)</f>
        <v>2.82</v>
      </c>
      <c r="H74" s="66">
        <f>ROUND(G74*E74,2)</f>
        <v>3239.87</v>
      </c>
    </row>
    <row r="75" spans="1:11" s="9" customFormat="1" ht="33" x14ac:dyDescent="0.25">
      <c r="A75" s="43" t="s">
        <v>196</v>
      </c>
      <c r="B75" s="97" t="s">
        <v>278</v>
      </c>
      <c r="C75" s="41" t="s">
        <v>281</v>
      </c>
      <c r="D75" s="86" t="s">
        <v>34</v>
      </c>
      <c r="E75" s="33">
        <v>844.32</v>
      </c>
      <c r="F75" s="36">
        <f>18.29*1.1138</f>
        <v>20.371401999999996</v>
      </c>
      <c r="G75" s="33">
        <f>ROUND(F75*1.2685,2)</f>
        <v>25.84</v>
      </c>
      <c r="H75" s="66">
        <f>ROUND(G75*E75,2)</f>
        <v>21817.23</v>
      </c>
    </row>
    <row r="76" spans="1:11" s="9" customFormat="1" ht="33" x14ac:dyDescent="0.25">
      <c r="A76" s="43" t="s">
        <v>202</v>
      </c>
      <c r="B76" s="97" t="s">
        <v>279</v>
      </c>
      <c r="C76" s="41" t="s">
        <v>280</v>
      </c>
      <c r="D76" s="86" t="s">
        <v>34</v>
      </c>
      <c r="E76" s="33">
        <v>304.58</v>
      </c>
      <c r="F76" s="36">
        <f>13.25*1.1138</f>
        <v>14.757849999999999</v>
      </c>
      <c r="G76" s="33">
        <f>ROUND(F76*1.2685,2)</f>
        <v>18.72</v>
      </c>
      <c r="H76" s="66">
        <f>ROUND(G76*E76,2)</f>
        <v>5701.74</v>
      </c>
    </row>
    <row r="77" spans="1:11" s="9" customFormat="1" ht="16.5" x14ac:dyDescent="0.25">
      <c r="A77" s="170" t="s">
        <v>61</v>
      </c>
      <c r="B77" s="170"/>
      <c r="C77" s="170"/>
      <c r="D77" s="170"/>
      <c r="E77" s="170"/>
      <c r="F77" s="170"/>
      <c r="G77" s="170"/>
      <c r="H77" s="67">
        <f>SUM(H73:H76,)</f>
        <v>38502.359999999993</v>
      </c>
    </row>
    <row r="78" spans="1:11" s="17" customFormat="1" ht="16.5" x14ac:dyDescent="0.25">
      <c r="A78" s="53" t="s">
        <v>64</v>
      </c>
      <c r="B78" s="28"/>
      <c r="C78" s="29" t="s">
        <v>49</v>
      </c>
      <c r="D78" s="84"/>
      <c r="E78" s="30"/>
      <c r="F78" s="30"/>
      <c r="G78" s="34"/>
      <c r="H78" s="65"/>
      <c r="K78" s="9"/>
    </row>
    <row r="79" spans="1:11" s="9" customFormat="1" ht="27" x14ac:dyDescent="0.25">
      <c r="A79" s="43" t="s">
        <v>65</v>
      </c>
      <c r="B79" s="97" t="s">
        <v>57</v>
      </c>
      <c r="C79" s="41" t="s">
        <v>55</v>
      </c>
      <c r="D79" s="86" t="s">
        <v>56</v>
      </c>
      <c r="E79" s="33">
        <v>4</v>
      </c>
      <c r="F79" s="36">
        <f>254.44*1.1138</f>
        <v>283.39527199999998</v>
      </c>
      <c r="G79" s="33">
        <f>ROUND(F79*1.2685,2)</f>
        <v>359.49</v>
      </c>
      <c r="H79" s="66">
        <f>ROUND(G79*E79,2)</f>
        <v>1437.96</v>
      </c>
    </row>
    <row r="80" spans="1:11" s="9" customFormat="1" ht="16.5" x14ac:dyDescent="0.25">
      <c r="A80" s="170" t="s">
        <v>203</v>
      </c>
      <c r="B80" s="170"/>
      <c r="C80" s="170"/>
      <c r="D80" s="170"/>
      <c r="E80" s="170"/>
      <c r="F80" s="170"/>
      <c r="G80" s="170"/>
      <c r="H80" s="67">
        <f>SUM(H79,)</f>
        <v>1437.96</v>
      </c>
    </row>
    <row r="81" spans="1:9" s="17" customFormat="1" ht="16.5" x14ac:dyDescent="0.25">
      <c r="A81" s="53" t="s">
        <v>204</v>
      </c>
      <c r="B81" s="28"/>
      <c r="C81" s="29" t="s">
        <v>30</v>
      </c>
      <c r="D81" s="84"/>
      <c r="E81" s="30"/>
      <c r="F81" s="30"/>
      <c r="G81" s="34"/>
      <c r="H81" s="65"/>
    </row>
    <row r="82" spans="1:9" s="9" customFormat="1" ht="16.5" x14ac:dyDescent="0.25">
      <c r="A82" s="43" t="s">
        <v>205</v>
      </c>
      <c r="B82" s="97" t="s">
        <v>74</v>
      </c>
      <c r="C82" s="41" t="s">
        <v>229</v>
      </c>
      <c r="D82" s="86" t="s">
        <v>34</v>
      </c>
      <c r="E82" s="33">
        <v>308.13</v>
      </c>
      <c r="F82" s="36">
        <v>2.4</v>
      </c>
      <c r="G82" s="33">
        <f>ROUND(F82*1.2685,2)</f>
        <v>3.04</v>
      </c>
      <c r="H82" s="66">
        <f>ROUND(G82*E82,2)</f>
        <v>936.72</v>
      </c>
    </row>
    <row r="83" spans="1:9" s="9" customFormat="1" ht="17.25" thickBot="1" x14ac:dyDescent="0.3">
      <c r="A83" s="175" t="s">
        <v>206</v>
      </c>
      <c r="B83" s="175"/>
      <c r="C83" s="175"/>
      <c r="D83" s="175"/>
      <c r="E83" s="175"/>
      <c r="F83" s="175"/>
      <c r="G83" s="175"/>
      <c r="H83" s="69">
        <f>SUM(H82,)</f>
        <v>936.72</v>
      </c>
    </row>
    <row r="84" spans="1:9" ht="17.25" thickBot="1" x14ac:dyDescent="0.3">
      <c r="A84" s="179" t="s">
        <v>13</v>
      </c>
      <c r="B84" s="180"/>
      <c r="C84" s="180"/>
      <c r="D84" s="180"/>
      <c r="E84" s="180"/>
      <c r="F84" s="180"/>
      <c r="G84" s="181"/>
      <c r="H84" s="70">
        <f>SUM(H10,H22,H29,H40,H50,H53,H59,H71,H77,H80,H83)</f>
        <v>179254.38</v>
      </c>
    </row>
    <row r="85" spans="1:9" s="5" customFormat="1" ht="15" customHeight="1" x14ac:dyDescent="0.25">
      <c r="A85" s="176" t="s">
        <v>81</v>
      </c>
      <c r="B85" s="176"/>
      <c r="C85" s="45"/>
      <c r="D85" s="88"/>
      <c r="E85" s="45"/>
      <c r="F85" s="177"/>
      <c r="G85" s="178"/>
      <c r="H85" s="178"/>
      <c r="I85" s="22"/>
    </row>
    <row r="86" spans="1:9" s="5" customFormat="1" x14ac:dyDescent="0.25">
      <c r="A86" s="174" t="s">
        <v>256</v>
      </c>
      <c r="B86" s="174"/>
      <c r="C86" s="174"/>
      <c r="D86" s="174"/>
      <c r="E86" s="174"/>
      <c r="F86" s="174"/>
      <c r="G86" s="174"/>
      <c r="H86" s="174"/>
      <c r="I86" s="22"/>
    </row>
    <row r="87" spans="1:9" s="5" customFormat="1" ht="16.5" x14ac:dyDescent="0.25">
      <c r="A87" s="22"/>
      <c r="B87" s="22"/>
      <c r="C87" s="22"/>
      <c r="D87" s="89"/>
      <c r="E87" s="26"/>
      <c r="F87" s="182" t="s">
        <v>264</v>
      </c>
      <c r="G87" s="182"/>
      <c r="H87" s="182"/>
      <c r="I87" s="22"/>
    </row>
    <row r="88" spans="1:9" x14ac:dyDescent="0.25">
      <c r="A88" s="2"/>
      <c r="B88" s="2"/>
      <c r="C88" s="23"/>
      <c r="D88" s="90"/>
      <c r="E88" s="27"/>
      <c r="F88" s="27"/>
      <c r="G88" s="27"/>
      <c r="H88" s="71"/>
      <c r="I88" s="22"/>
    </row>
    <row r="89" spans="1:9" s="21" customFormat="1" x14ac:dyDescent="0.25">
      <c r="A89" s="22"/>
      <c r="B89" s="22"/>
      <c r="C89" s="22"/>
      <c r="D89" s="89"/>
      <c r="E89" s="26"/>
      <c r="F89" s="26"/>
      <c r="G89" s="26"/>
      <c r="H89" s="72"/>
      <c r="I89" s="22"/>
    </row>
    <row r="90" spans="1:9" s="21" customFormat="1" x14ac:dyDescent="0.25">
      <c r="A90" s="2"/>
      <c r="B90" s="2"/>
      <c r="C90" s="23"/>
      <c r="D90" s="90"/>
      <c r="E90" s="27"/>
      <c r="F90" s="27"/>
      <c r="G90" s="27"/>
      <c r="H90" s="71"/>
      <c r="I90" s="22"/>
    </row>
    <row r="91" spans="1:9" s="21" customFormat="1" x14ac:dyDescent="0.25">
      <c r="A91" s="22"/>
      <c r="B91" s="22"/>
      <c r="C91" s="22"/>
      <c r="D91" s="89"/>
      <c r="E91" s="26"/>
      <c r="F91" s="26"/>
      <c r="G91" s="26"/>
      <c r="H91" s="72"/>
      <c r="I91" s="22"/>
    </row>
    <row r="92" spans="1:9" x14ac:dyDescent="0.25">
      <c r="A92" s="173" t="s">
        <v>77</v>
      </c>
      <c r="B92" s="173"/>
      <c r="C92" s="173"/>
      <c r="D92" s="173"/>
      <c r="E92" s="173"/>
      <c r="F92" s="173"/>
      <c r="G92" s="173"/>
      <c r="H92" s="173"/>
      <c r="I92" s="22"/>
    </row>
    <row r="93" spans="1:9" x14ac:dyDescent="0.25">
      <c r="A93" s="172" t="s">
        <v>78</v>
      </c>
      <c r="B93" s="173"/>
      <c r="C93" s="173"/>
      <c r="D93" s="173"/>
      <c r="E93" s="173"/>
      <c r="F93" s="173"/>
      <c r="G93" s="173"/>
      <c r="H93" s="173"/>
      <c r="I93" s="22"/>
    </row>
    <row r="94" spans="1:9" x14ac:dyDescent="0.25">
      <c r="A94" s="2"/>
      <c r="B94" s="2"/>
      <c r="C94" s="23"/>
      <c r="D94" s="90"/>
      <c r="E94" s="27"/>
      <c r="F94" s="27"/>
      <c r="G94" s="27"/>
      <c r="H94" s="71"/>
      <c r="I94" s="22"/>
    </row>
    <row r="95" spans="1:9" x14ac:dyDescent="0.25">
      <c r="A95" s="22"/>
      <c r="B95" s="22"/>
      <c r="C95" s="23"/>
      <c r="D95" s="89"/>
      <c r="E95" s="26"/>
      <c r="F95" s="26"/>
      <c r="G95" s="26"/>
      <c r="H95" s="72"/>
      <c r="I95" s="22"/>
    </row>
    <row r="96" spans="1:9" x14ac:dyDescent="0.25">
      <c r="A96" s="22"/>
      <c r="B96" s="22"/>
      <c r="C96" s="23"/>
      <c r="D96" s="89"/>
      <c r="E96" s="26"/>
      <c r="F96" s="26"/>
      <c r="G96" s="26"/>
      <c r="H96" s="72"/>
      <c r="I96" s="22"/>
    </row>
    <row r="97" spans="1:9" x14ac:dyDescent="0.25">
      <c r="A97" s="22"/>
      <c r="B97" s="22"/>
      <c r="C97" s="23"/>
      <c r="D97" s="89"/>
      <c r="E97" s="26"/>
      <c r="F97" s="26"/>
      <c r="G97" s="26"/>
      <c r="H97" s="72"/>
      <c r="I97" s="22"/>
    </row>
  </sheetData>
  <mergeCells count="21">
    <mergeCell ref="Q7:R7"/>
    <mergeCell ref="A71:G71"/>
    <mergeCell ref="A93:H93"/>
    <mergeCell ref="A86:H86"/>
    <mergeCell ref="A50:G50"/>
    <mergeCell ref="A40:G40"/>
    <mergeCell ref="A59:G59"/>
    <mergeCell ref="A83:G83"/>
    <mergeCell ref="A80:G80"/>
    <mergeCell ref="A53:G53"/>
    <mergeCell ref="A85:B85"/>
    <mergeCell ref="F85:H85"/>
    <mergeCell ref="A84:G84"/>
    <mergeCell ref="F87:H87"/>
    <mergeCell ref="A92:H92"/>
    <mergeCell ref="A77:G77"/>
    <mergeCell ref="A1:B6"/>
    <mergeCell ref="C3:C4"/>
    <mergeCell ref="A10:G10"/>
    <mergeCell ref="A22:G22"/>
    <mergeCell ref="A29:G29"/>
  </mergeCells>
  <printOptions horizontalCentered="1"/>
  <pageMargins left="0.27559055118110237" right="0.27559055118110237" top="0.59055118110236227" bottom="0.39370078740157483" header="0.19685039370078741" footer="0.19685039370078741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topLeftCell="D31" workbookViewId="0">
      <selection activeCell="J51" sqref="J51:K51"/>
    </sheetView>
  </sheetViews>
  <sheetFormatPr defaultRowHeight="15" x14ac:dyDescent="0.25"/>
  <cols>
    <col min="1" max="1" width="9.140625" style="155"/>
    <col min="2" max="2" width="13.5703125" style="121" customWidth="1"/>
    <col min="3" max="3" width="8.140625" style="103" bestFit="1" customWidth="1"/>
    <col min="4" max="4" width="11" style="103" customWidth="1"/>
    <col min="5" max="5" width="8.42578125" style="103" bestFit="1" customWidth="1"/>
    <col min="6" max="6" width="7" bestFit="1" customWidth="1"/>
    <col min="7" max="7" width="13.5703125" style="122" customWidth="1"/>
    <col min="8" max="8" width="8.140625" style="103" bestFit="1" customWidth="1"/>
    <col min="9" max="9" width="10.85546875" style="103" customWidth="1"/>
    <col min="10" max="10" width="8.42578125" style="103" bestFit="1" customWidth="1"/>
    <col min="11" max="11" width="9.140625" style="103" customWidth="1"/>
    <col min="12" max="12" width="5.140625" customWidth="1"/>
    <col min="13" max="13" width="3.85546875" customWidth="1"/>
    <col min="14" max="14" width="9.140625" customWidth="1"/>
    <col min="15" max="15" width="46.28515625" customWidth="1"/>
    <col min="16" max="16" width="4.7109375" customWidth="1"/>
    <col min="20" max="20" width="11.85546875" customWidth="1"/>
  </cols>
  <sheetData>
    <row r="1" spans="1:20" s="8" customFormat="1" ht="27.75" customHeight="1" thickBot="1" x14ac:dyDescent="0.3">
      <c r="A1" s="155"/>
      <c r="B1" s="187" t="s">
        <v>175</v>
      </c>
      <c r="C1" s="188"/>
      <c r="D1" s="188"/>
      <c r="E1" s="188"/>
      <c r="F1" s="188"/>
      <c r="G1" s="188"/>
      <c r="H1" s="188"/>
      <c r="I1" s="188"/>
      <c r="J1" s="188"/>
      <c r="K1" s="189"/>
      <c r="L1" s="118"/>
      <c r="M1" s="106"/>
      <c r="N1" s="106"/>
    </row>
    <row r="2" spans="1:20" s="8" customFormat="1" ht="30" customHeight="1" thickBot="1" x14ac:dyDescent="0.3">
      <c r="A2" s="155"/>
      <c r="B2" s="190" t="s">
        <v>176</v>
      </c>
      <c r="C2" s="191"/>
      <c r="D2" s="191"/>
      <c r="E2" s="191"/>
      <c r="F2" s="192"/>
      <c r="G2" s="190" t="s">
        <v>181</v>
      </c>
      <c r="H2" s="191"/>
      <c r="I2" s="191"/>
      <c r="J2" s="191"/>
      <c r="K2" s="192"/>
      <c r="L2" s="118"/>
      <c r="M2" s="106"/>
      <c r="N2" s="106"/>
    </row>
    <row r="3" spans="1:20" s="121" customFormat="1" ht="25.5" x14ac:dyDescent="0.2">
      <c r="B3" s="126" t="s">
        <v>178</v>
      </c>
      <c r="C3" s="127" t="s">
        <v>179</v>
      </c>
      <c r="D3" s="128" t="s">
        <v>194</v>
      </c>
      <c r="E3" s="129" t="s">
        <v>180</v>
      </c>
      <c r="F3" s="130" t="s">
        <v>177</v>
      </c>
      <c r="G3" s="133" t="s">
        <v>178</v>
      </c>
      <c r="H3" s="127" t="s">
        <v>179</v>
      </c>
      <c r="I3" s="128" t="s">
        <v>194</v>
      </c>
      <c r="J3" s="129" t="s">
        <v>180</v>
      </c>
      <c r="K3" s="130" t="s">
        <v>177</v>
      </c>
      <c r="L3" s="119"/>
      <c r="M3" s="120"/>
      <c r="N3" s="120"/>
    </row>
    <row r="4" spans="1:20" s="8" customFormat="1" ht="22.5" x14ac:dyDescent="0.25">
      <c r="A4" s="155"/>
      <c r="B4" s="131" t="s">
        <v>182</v>
      </c>
      <c r="C4" s="125">
        <v>1.5</v>
      </c>
      <c r="D4" s="125">
        <f>3.05*2+1.7*2</f>
        <v>9.5</v>
      </c>
      <c r="E4" s="125">
        <f>0.6*0.6+2.1*0.9</f>
        <v>2.25</v>
      </c>
      <c r="F4" s="132">
        <f t="shared" ref="F4:F9" si="0">C4*D4-E4</f>
        <v>12</v>
      </c>
      <c r="G4" s="134" t="s">
        <v>191</v>
      </c>
      <c r="H4" s="125">
        <v>4.3</v>
      </c>
      <c r="I4" s="125">
        <v>7.15</v>
      </c>
      <c r="J4" s="125">
        <f>1.5*1.5*2</f>
        <v>4.5</v>
      </c>
      <c r="K4" s="132">
        <f>(H4*I4)-J4</f>
        <v>26.245000000000001</v>
      </c>
      <c r="L4" s="118"/>
      <c r="M4" s="106"/>
      <c r="N4" s="106"/>
    </row>
    <row r="5" spans="1:20" s="8" customFormat="1" x14ac:dyDescent="0.25">
      <c r="A5" s="155"/>
      <c r="B5" s="131" t="s">
        <v>183</v>
      </c>
      <c r="C5" s="125">
        <v>1.5</v>
      </c>
      <c r="D5" s="125">
        <f>3*2+1.65*2</f>
        <v>9.3000000000000007</v>
      </c>
      <c r="E5" s="125">
        <f>0.6*0.6+2.1*0.9</f>
        <v>2.25</v>
      </c>
      <c r="F5" s="132">
        <f t="shared" si="0"/>
        <v>11.700000000000001</v>
      </c>
      <c r="G5" s="134" t="s">
        <v>187</v>
      </c>
      <c r="H5" s="125">
        <v>4.3</v>
      </c>
      <c r="I5" s="125">
        <v>10.25</v>
      </c>
      <c r="J5" s="125">
        <f>1.5*1.5*2</f>
        <v>4.5</v>
      </c>
      <c r="K5" s="132">
        <f>H5*I5-J5</f>
        <v>39.574999999999996</v>
      </c>
      <c r="L5" s="118"/>
      <c r="M5" s="106"/>
      <c r="N5" s="106"/>
    </row>
    <row r="6" spans="1:20" s="8" customFormat="1" ht="22.5" x14ac:dyDescent="0.25">
      <c r="A6" s="155"/>
      <c r="B6" s="131" t="s">
        <v>184</v>
      </c>
      <c r="C6" s="125">
        <v>3</v>
      </c>
      <c r="D6" s="125">
        <f>8*2+6.3*2</f>
        <v>28.6</v>
      </c>
      <c r="E6" s="125">
        <f>0.9*1.2*6</f>
        <v>6.48</v>
      </c>
      <c r="F6" s="132">
        <f t="shared" si="0"/>
        <v>79.320000000000007</v>
      </c>
      <c r="G6" s="134" t="s">
        <v>190</v>
      </c>
      <c r="H6" s="125">
        <v>4.3</v>
      </c>
      <c r="I6" s="125">
        <v>6.3</v>
      </c>
      <c r="J6" s="125">
        <f>2.1*0.9</f>
        <v>1.8900000000000001</v>
      </c>
      <c r="K6" s="132">
        <f>H6*I6-J6</f>
        <v>25.2</v>
      </c>
      <c r="L6" s="118"/>
      <c r="M6" s="106"/>
      <c r="N6" s="106"/>
    </row>
    <row r="7" spans="1:20" s="8" customFormat="1" x14ac:dyDescent="0.25">
      <c r="A7" s="155"/>
      <c r="B7" s="131" t="s">
        <v>185</v>
      </c>
      <c r="C7" s="125">
        <v>3</v>
      </c>
      <c r="D7" s="125">
        <f>1.5*2+5.05*2</f>
        <v>13.1</v>
      </c>
      <c r="E7" s="125">
        <f>0.6*0.6+2.1*0.9</f>
        <v>2.25</v>
      </c>
      <c r="F7" s="132">
        <f t="shared" si="0"/>
        <v>37.049999999999997</v>
      </c>
      <c r="G7" s="134" t="s">
        <v>189</v>
      </c>
      <c r="H7" s="125">
        <v>1.1499999999999999</v>
      </c>
      <c r="I7" s="125">
        <f>13.3+2</f>
        <v>15.3</v>
      </c>
      <c r="J7" s="125">
        <v>0</v>
      </c>
      <c r="K7" s="132">
        <f>H7*I7-J7</f>
        <v>17.594999999999999</v>
      </c>
      <c r="L7" s="118"/>
      <c r="M7" s="106"/>
      <c r="N7" s="106"/>
    </row>
    <row r="8" spans="1:20" s="8" customFormat="1" x14ac:dyDescent="0.25">
      <c r="A8" s="155"/>
      <c r="B8" s="131" t="s">
        <v>186</v>
      </c>
      <c r="C8" s="125">
        <v>0.6</v>
      </c>
      <c r="D8" s="125">
        <v>7.96</v>
      </c>
      <c r="E8" s="125">
        <v>0</v>
      </c>
      <c r="F8" s="132">
        <f t="shared" si="0"/>
        <v>4.7759999999999998</v>
      </c>
      <c r="G8" s="134" t="s">
        <v>188</v>
      </c>
      <c r="H8" s="125">
        <v>5.7</v>
      </c>
      <c r="I8" s="125">
        <v>6.45</v>
      </c>
      <c r="J8" s="125">
        <v>0</v>
      </c>
      <c r="K8" s="132">
        <f>H8*I8-J8</f>
        <v>36.765000000000001</v>
      </c>
      <c r="L8" s="118"/>
      <c r="M8" s="106"/>
      <c r="N8" s="106"/>
    </row>
    <row r="9" spans="1:20" s="8" customFormat="1" ht="25.5" x14ac:dyDescent="0.25">
      <c r="A9" s="155"/>
      <c r="B9" s="131" t="s">
        <v>193</v>
      </c>
      <c r="C9" s="125">
        <v>1</v>
      </c>
      <c r="D9" s="125">
        <v>7.96</v>
      </c>
      <c r="E9" s="125">
        <v>0</v>
      </c>
      <c r="F9" s="132">
        <f t="shared" si="0"/>
        <v>7.96</v>
      </c>
      <c r="G9" s="141"/>
      <c r="H9" s="117"/>
      <c r="I9" s="117"/>
      <c r="J9" s="117"/>
      <c r="K9" s="142"/>
      <c r="L9" s="118"/>
      <c r="M9" s="106"/>
      <c r="N9" s="106"/>
    </row>
    <row r="10" spans="1:20" s="8" customFormat="1" ht="15" customHeight="1" thickBot="1" x14ac:dyDescent="0.3">
      <c r="A10" s="155"/>
      <c r="B10" s="144"/>
      <c r="C10" s="135"/>
      <c r="D10" s="117"/>
      <c r="E10" s="117"/>
      <c r="F10" s="142"/>
      <c r="G10" s="143"/>
      <c r="H10" s="135"/>
      <c r="I10" s="117"/>
      <c r="J10" s="117"/>
      <c r="K10" s="142"/>
      <c r="L10" s="123"/>
      <c r="M10" s="123"/>
      <c r="N10" s="106"/>
    </row>
    <row r="11" spans="1:20" s="8" customFormat="1" ht="15.75" thickBot="1" x14ac:dyDescent="0.3">
      <c r="A11" s="155"/>
      <c r="B11" s="140"/>
      <c r="C11" s="139"/>
      <c r="D11" s="124" t="s">
        <v>192</v>
      </c>
      <c r="E11" s="183">
        <f>SUM(F4:F8)</f>
        <v>144.846</v>
      </c>
      <c r="F11" s="184"/>
      <c r="G11" s="140"/>
      <c r="H11" s="139"/>
      <c r="I11" s="124" t="s">
        <v>192</v>
      </c>
      <c r="J11" s="193">
        <f>SUM(K4:K8)</f>
        <v>145.38</v>
      </c>
      <c r="K11" s="194"/>
      <c r="L11" s="123"/>
      <c r="M11" s="123"/>
      <c r="N11" s="106"/>
    </row>
    <row r="12" spans="1:20" s="8" customFormat="1" ht="30.75" customHeight="1" thickBot="1" x14ac:dyDescent="0.3">
      <c r="A12" s="155"/>
      <c r="B12" s="136"/>
      <c r="C12" s="137"/>
      <c r="D12" s="137"/>
      <c r="E12" s="137"/>
      <c r="F12" s="137"/>
      <c r="G12" s="137"/>
      <c r="H12" s="137"/>
      <c r="I12" s="138" t="s">
        <v>192</v>
      </c>
      <c r="J12" s="185">
        <f>SUM(E11,J11)</f>
        <v>290.226</v>
      </c>
      <c r="K12" s="186"/>
      <c r="L12" s="123"/>
      <c r="M12" s="123"/>
      <c r="N12" s="106"/>
    </row>
    <row r="13" spans="1:20" s="8" customFormat="1" x14ac:dyDescent="0.25">
      <c r="A13" s="155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06"/>
    </row>
    <row r="14" spans="1:20" s="8" customFormat="1" ht="15.75" thickBot="1" x14ac:dyDescent="0.3">
      <c r="A14" s="155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06"/>
    </row>
    <row r="15" spans="1:20" s="8" customFormat="1" ht="17.25" thickBot="1" x14ac:dyDescent="0.3">
      <c r="A15" s="155"/>
      <c r="B15" s="187" t="s">
        <v>175</v>
      </c>
      <c r="C15" s="188"/>
      <c r="D15" s="188"/>
      <c r="E15" s="188"/>
      <c r="F15" s="188"/>
      <c r="G15" s="188"/>
      <c r="H15" s="188"/>
      <c r="I15" s="188"/>
      <c r="J15" s="188"/>
      <c r="K15" s="189"/>
      <c r="L15" s="123"/>
      <c r="M15" s="53" t="s">
        <v>73</v>
      </c>
      <c r="N15" s="28"/>
      <c r="O15" s="29" t="s">
        <v>175</v>
      </c>
      <c r="P15" s="84"/>
      <c r="Q15" s="30"/>
      <c r="R15" s="30"/>
      <c r="S15" s="34"/>
      <c r="T15" s="65"/>
    </row>
    <row r="16" spans="1:20" s="8" customFormat="1" ht="21" customHeight="1" thickBot="1" x14ac:dyDescent="0.3">
      <c r="A16" s="155"/>
      <c r="B16" s="190" t="s">
        <v>176</v>
      </c>
      <c r="C16" s="191"/>
      <c r="D16" s="191"/>
      <c r="E16" s="191"/>
      <c r="F16" s="192"/>
      <c r="G16" s="190" t="s">
        <v>181</v>
      </c>
      <c r="H16" s="191"/>
      <c r="I16" s="191"/>
      <c r="J16" s="191"/>
      <c r="K16" s="192"/>
      <c r="L16" s="123"/>
      <c r="M16" s="159" t="s">
        <v>60</v>
      </c>
      <c r="N16" s="160" t="s">
        <v>272</v>
      </c>
      <c r="O16" s="161" t="s">
        <v>197</v>
      </c>
      <c r="P16" s="162" t="s">
        <v>34</v>
      </c>
      <c r="Q16" s="33">
        <v>653.95000000000005</v>
      </c>
      <c r="R16" s="36">
        <f>5.02*1.0589</f>
        <v>5.3156779999999992</v>
      </c>
      <c r="S16" s="33">
        <f>ROUND(R16*1.2685,2)</f>
        <v>6.74</v>
      </c>
      <c r="T16" s="66">
        <f>ROUND(S16*Q16,2)</f>
        <v>4407.62</v>
      </c>
    </row>
    <row r="17" spans="1:20" s="8" customFormat="1" ht="24.75" customHeight="1" x14ac:dyDescent="0.25">
      <c r="A17" s="155"/>
      <c r="B17" s="126" t="s">
        <v>178</v>
      </c>
      <c r="C17" s="127" t="s">
        <v>179</v>
      </c>
      <c r="D17" s="128" t="s">
        <v>194</v>
      </c>
      <c r="E17" s="129" t="s">
        <v>180</v>
      </c>
      <c r="F17" s="130" t="s">
        <v>177</v>
      </c>
      <c r="G17" s="133" t="s">
        <v>178</v>
      </c>
      <c r="H17" s="127" t="s">
        <v>179</v>
      </c>
      <c r="I17" s="128" t="s">
        <v>194</v>
      </c>
      <c r="J17" s="129" t="s">
        <v>180</v>
      </c>
      <c r="K17" s="130" t="s">
        <v>177</v>
      </c>
      <c r="L17" s="123"/>
      <c r="M17" s="159" t="s">
        <v>195</v>
      </c>
      <c r="N17" s="160" t="s">
        <v>200</v>
      </c>
      <c r="O17" s="161" t="s">
        <v>199</v>
      </c>
      <c r="P17" s="162" t="s">
        <v>34</v>
      </c>
      <c r="Q17" s="33">
        <v>653.95000000000005</v>
      </c>
      <c r="R17" s="36">
        <v>2.2200000000000002</v>
      </c>
      <c r="S17" s="33">
        <f>ROUND(R17*1.2685,2)</f>
        <v>2.82</v>
      </c>
      <c r="T17" s="66">
        <f>ROUND(S17*Q17,2)</f>
        <v>1844.14</v>
      </c>
    </row>
    <row r="18" spans="1:20" s="8" customFormat="1" ht="25.5" customHeight="1" x14ac:dyDescent="0.25">
      <c r="A18" s="155"/>
      <c r="B18" s="131" t="s">
        <v>182</v>
      </c>
      <c r="C18" s="125">
        <v>1.5</v>
      </c>
      <c r="D18" s="125">
        <f>3.05*2+1.7*2</f>
        <v>9.5</v>
      </c>
      <c r="E18" s="125">
        <f>0.6*0.6+2.1*0.9</f>
        <v>2.25</v>
      </c>
      <c r="F18" s="132">
        <f t="shared" ref="F18" si="1">C18*D18-E18</f>
        <v>12</v>
      </c>
      <c r="G18" s="134" t="s">
        <v>266</v>
      </c>
      <c r="H18" s="125">
        <v>5.75</v>
      </c>
      <c r="I18" s="125">
        <f>8.3+6.45+8.3+6.75</f>
        <v>29.8</v>
      </c>
      <c r="J18" s="125">
        <f>(2.1*0.9)+(0.9*1.2*6)</f>
        <v>8.370000000000001</v>
      </c>
      <c r="K18" s="158">
        <f>(H18*I18)-J18</f>
        <v>162.97999999999999</v>
      </c>
      <c r="L18" s="123"/>
      <c r="M18" s="159" t="s">
        <v>196</v>
      </c>
      <c r="N18" s="160" t="s">
        <v>230</v>
      </c>
      <c r="O18" s="161" t="s">
        <v>231</v>
      </c>
      <c r="P18" s="162" t="s">
        <v>34</v>
      </c>
      <c r="Q18" s="33">
        <v>362.11</v>
      </c>
      <c r="R18" s="36">
        <v>18.09</v>
      </c>
      <c r="S18" s="33">
        <f>ROUND(R18*1.2685,2)</f>
        <v>22.95</v>
      </c>
      <c r="T18" s="66">
        <f>ROUND(S18*Q18,2)</f>
        <v>8310.42</v>
      </c>
    </row>
    <row r="19" spans="1:20" s="155" customFormat="1" ht="15" customHeight="1" x14ac:dyDescent="0.25">
      <c r="B19" s="131" t="s">
        <v>183</v>
      </c>
      <c r="C19" s="125">
        <v>1.5</v>
      </c>
      <c r="D19" s="125">
        <f>3*2+1.65*2</f>
        <v>9.3000000000000007</v>
      </c>
      <c r="E19" s="125">
        <f>0.6*0.6+2.1*0.9</f>
        <v>2.25</v>
      </c>
      <c r="F19" s="132">
        <f t="shared" ref="F19:F22" si="2">C19*D19-E19</f>
        <v>11.700000000000001</v>
      </c>
      <c r="G19" s="134" t="s">
        <v>265</v>
      </c>
      <c r="H19" s="125">
        <v>5.25</v>
      </c>
      <c r="I19" s="125">
        <v>20.149999999999999</v>
      </c>
      <c r="J19" s="125">
        <f>(0.9*1.2*12)+(0.6*0.6*2)</f>
        <v>13.680000000000001</v>
      </c>
      <c r="K19" s="158">
        <f>H19*I19-J19</f>
        <v>92.107499999999987</v>
      </c>
      <c r="L19" s="123"/>
      <c r="M19" s="159" t="s">
        <v>202</v>
      </c>
      <c r="N19" s="160" t="s">
        <v>201</v>
      </c>
      <c r="O19" s="161" t="s">
        <v>232</v>
      </c>
      <c r="P19" s="162" t="s">
        <v>34</v>
      </c>
      <c r="Q19" s="33">
        <v>291.83999999999997</v>
      </c>
      <c r="R19" s="36">
        <v>14.82</v>
      </c>
      <c r="S19" s="33">
        <f>ROUND(R19*1.2685,2)</f>
        <v>18.8</v>
      </c>
      <c r="T19" s="66">
        <f>ROUND(S19*Q19,2)</f>
        <v>5486.59</v>
      </c>
    </row>
    <row r="20" spans="1:20" s="155" customFormat="1" ht="16.5" x14ac:dyDescent="0.25">
      <c r="B20" s="131" t="s">
        <v>184</v>
      </c>
      <c r="C20" s="125">
        <v>3</v>
      </c>
      <c r="D20" s="125">
        <f>8*2+6.3*2</f>
        <v>28.6</v>
      </c>
      <c r="E20" s="125">
        <f>0.9*1.2*6+2.1*0.9</f>
        <v>8.370000000000001</v>
      </c>
      <c r="F20" s="132">
        <f t="shared" si="2"/>
        <v>77.430000000000007</v>
      </c>
      <c r="G20" s="134" t="s">
        <v>267</v>
      </c>
      <c r="H20" s="157">
        <v>5</v>
      </c>
      <c r="I20" s="156">
        <f>6.5+8.5+1.1</f>
        <v>16.100000000000001</v>
      </c>
      <c r="J20" s="125">
        <f>2.1*0.9</f>
        <v>1.8900000000000001</v>
      </c>
      <c r="K20" s="132">
        <f>H20*I20-J20</f>
        <v>78.61</v>
      </c>
      <c r="L20" s="123"/>
      <c r="M20" s="170" t="s">
        <v>61</v>
      </c>
      <c r="N20" s="170"/>
      <c r="O20" s="170"/>
      <c r="P20" s="170"/>
      <c r="Q20" s="170"/>
      <c r="R20" s="170"/>
      <c r="S20" s="170"/>
      <c r="T20" s="67">
        <f>SUM(T16:T19,)</f>
        <v>20048.77</v>
      </c>
    </row>
    <row r="21" spans="1:20" s="155" customFormat="1" x14ac:dyDescent="0.25">
      <c r="B21" s="131" t="s">
        <v>185</v>
      </c>
      <c r="C21" s="125">
        <v>3</v>
      </c>
      <c r="D21" s="125">
        <f>1.5*2+5.05*2</f>
        <v>13.1</v>
      </c>
      <c r="E21" s="125">
        <f>0.6*0.6+2.1*0.9</f>
        <v>2.25</v>
      </c>
      <c r="F21" s="132">
        <f t="shared" si="2"/>
        <v>37.049999999999997</v>
      </c>
      <c r="G21" s="134" t="s">
        <v>268</v>
      </c>
      <c r="H21" s="157">
        <v>3.5</v>
      </c>
      <c r="I21" s="157">
        <f>1.5+1.2</f>
        <v>2.7</v>
      </c>
      <c r="J21" s="125">
        <f>2.1*0.9*2</f>
        <v>3.7800000000000002</v>
      </c>
      <c r="K21" s="132">
        <f>H21*I21-J21</f>
        <v>5.6700000000000008</v>
      </c>
      <c r="L21" s="123"/>
      <c r="M21" s="123"/>
      <c r="N21" s="106"/>
    </row>
    <row r="22" spans="1:20" s="155" customFormat="1" ht="22.5" x14ac:dyDescent="0.25">
      <c r="B22" s="131" t="s">
        <v>270</v>
      </c>
      <c r="C22" s="125">
        <v>3</v>
      </c>
      <c r="D22" s="125">
        <f>6.2*2+8.2*2</f>
        <v>28.799999999999997</v>
      </c>
      <c r="E22" s="125">
        <f>0.9*1.2*6+2.1*0.9</f>
        <v>8.370000000000001</v>
      </c>
      <c r="F22" s="132">
        <f t="shared" si="2"/>
        <v>78.029999999999987</v>
      </c>
      <c r="G22" s="134" t="s">
        <v>269</v>
      </c>
      <c r="H22" s="157">
        <v>3.5</v>
      </c>
      <c r="I22" s="157">
        <v>6.6</v>
      </c>
      <c r="J22" s="125">
        <f>0.6*0.6</f>
        <v>0.36</v>
      </c>
      <c r="K22" s="132">
        <f>H22*I22-J22</f>
        <v>22.74</v>
      </c>
      <c r="L22" s="123"/>
      <c r="M22" s="123"/>
      <c r="N22" s="106"/>
    </row>
    <row r="23" spans="1:20" ht="15" customHeight="1" x14ac:dyDescent="0.25">
      <c r="B23" s="131" t="s">
        <v>271</v>
      </c>
      <c r="C23" s="125">
        <v>3</v>
      </c>
      <c r="D23" s="125">
        <f>6*2+8*2</f>
        <v>28</v>
      </c>
      <c r="E23" s="125">
        <f>0.9*1.2*6+2.1*0.9</f>
        <v>8.370000000000001</v>
      </c>
      <c r="F23" s="132">
        <f>C23*D23-E23</f>
        <v>75.63</v>
      </c>
      <c r="G23" s="134"/>
      <c r="H23" s="125"/>
      <c r="I23" s="125"/>
      <c r="J23" s="125"/>
      <c r="K23" s="132"/>
      <c r="L23" s="123"/>
      <c r="M23" s="123"/>
      <c r="N23" s="106"/>
    </row>
    <row r="24" spans="1:20" x14ac:dyDescent="0.25">
      <c r="B24" s="131"/>
      <c r="C24" s="125"/>
      <c r="D24" s="125"/>
      <c r="E24" s="125"/>
      <c r="F24" s="132"/>
      <c r="G24" s="134"/>
      <c r="H24" s="125"/>
      <c r="I24" s="125"/>
      <c r="J24" s="125"/>
      <c r="K24" s="132"/>
      <c r="L24" s="123"/>
      <c r="M24" s="123"/>
      <c r="N24" s="106"/>
    </row>
    <row r="25" spans="1:20" x14ac:dyDescent="0.25">
      <c r="B25" s="131"/>
      <c r="C25" s="125"/>
      <c r="D25" s="125"/>
      <c r="E25" s="125"/>
      <c r="F25" s="132"/>
      <c r="G25" s="134"/>
      <c r="H25" s="125"/>
      <c r="I25" s="125"/>
      <c r="J25" s="125"/>
      <c r="K25" s="132"/>
      <c r="L25" s="123"/>
      <c r="M25" s="123"/>
      <c r="N25" s="106"/>
    </row>
    <row r="26" spans="1:20" x14ac:dyDescent="0.25">
      <c r="B26" s="131"/>
      <c r="C26" s="125"/>
      <c r="D26" s="125"/>
      <c r="E26" s="125"/>
      <c r="F26" s="132"/>
      <c r="G26" s="134"/>
      <c r="H26" s="125"/>
      <c r="I26" s="125"/>
      <c r="J26" s="125"/>
      <c r="K26" s="132"/>
      <c r="L26" s="123"/>
      <c r="M26" s="123"/>
      <c r="N26" s="106"/>
    </row>
    <row r="27" spans="1:20" x14ac:dyDescent="0.25">
      <c r="B27" s="131"/>
      <c r="C27" s="125"/>
      <c r="D27" s="125"/>
      <c r="E27" s="125"/>
      <c r="F27" s="132"/>
      <c r="G27" s="141"/>
      <c r="H27" s="117"/>
      <c r="I27" s="117"/>
      <c r="J27" s="117"/>
      <c r="K27" s="142"/>
      <c r="L27" s="123"/>
      <c r="M27" s="123"/>
      <c r="N27" s="106"/>
    </row>
    <row r="28" spans="1:20" ht="15.75" thickBot="1" x14ac:dyDescent="0.3">
      <c r="B28" s="144"/>
      <c r="C28" s="135"/>
      <c r="D28" s="117"/>
      <c r="E28" s="117"/>
      <c r="F28" s="142"/>
      <c r="G28" s="143"/>
      <c r="H28" s="135"/>
      <c r="I28" s="117"/>
      <c r="J28" s="117"/>
      <c r="K28" s="142"/>
      <c r="L28" s="123"/>
      <c r="M28" s="123"/>
      <c r="N28" s="106"/>
    </row>
    <row r="29" spans="1:20" ht="15.75" thickBot="1" x14ac:dyDescent="0.3">
      <c r="B29" s="140"/>
      <c r="C29" s="139"/>
      <c r="D29" s="124" t="s">
        <v>192</v>
      </c>
      <c r="E29" s="183">
        <f>SUM(F18:F26)</f>
        <v>291.83999999999997</v>
      </c>
      <c r="F29" s="184"/>
      <c r="G29" s="140"/>
      <c r="H29" s="139"/>
      <c r="I29" s="124" t="s">
        <v>192</v>
      </c>
      <c r="J29" s="183">
        <f>SUM(K18:K26)</f>
        <v>362.10750000000002</v>
      </c>
      <c r="K29" s="184"/>
      <c r="L29" s="123"/>
      <c r="M29" s="123"/>
      <c r="N29" s="106"/>
    </row>
    <row r="30" spans="1:20" ht="16.5" thickBot="1" x14ac:dyDescent="0.3">
      <c r="B30" s="136"/>
      <c r="C30" s="137"/>
      <c r="D30" s="137"/>
      <c r="E30" s="137"/>
      <c r="F30" s="137"/>
      <c r="G30" s="137"/>
      <c r="H30" s="137"/>
      <c r="I30" s="138" t="s">
        <v>192</v>
      </c>
      <c r="J30" s="185">
        <f>SUM(E29,J29)</f>
        <v>653.94749999999999</v>
      </c>
      <c r="K30" s="186"/>
      <c r="L30" s="123"/>
      <c r="M30" s="123"/>
      <c r="N30" s="106"/>
    </row>
    <row r="31" spans="1:20" x14ac:dyDescent="0.25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06"/>
    </row>
    <row r="32" spans="1:20" ht="15.75" thickBot="1" x14ac:dyDescent="0.3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06"/>
    </row>
    <row r="33" spans="2:20" s="155" customFormat="1" ht="17.25" thickBot="1" x14ac:dyDescent="0.3">
      <c r="B33" s="187" t="s">
        <v>175</v>
      </c>
      <c r="C33" s="188"/>
      <c r="D33" s="188"/>
      <c r="E33" s="188"/>
      <c r="F33" s="188"/>
      <c r="G33" s="188"/>
      <c r="H33" s="188"/>
      <c r="I33" s="188"/>
      <c r="J33" s="188"/>
      <c r="K33" s="189"/>
      <c r="L33" s="123"/>
      <c r="M33" s="53" t="s">
        <v>73</v>
      </c>
      <c r="N33" s="28"/>
      <c r="O33" s="29" t="s">
        <v>175</v>
      </c>
      <c r="P33" s="84"/>
      <c r="Q33" s="30"/>
      <c r="R33" s="30"/>
      <c r="S33" s="34"/>
      <c r="T33" s="65"/>
    </row>
    <row r="34" spans="2:20" s="155" customFormat="1" ht="21" customHeight="1" thickBot="1" x14ac:dyDescent="0.3">
      <c r="B34" s="190" t="s">
        <v>176</v>
      </c>
      <c r="C34" s="191"/>
      <c r="D34" s="191"/>
      <c r="E34" s="191"/>
      <c r="F34" s="192"/>
      <c r="G34" s="190" t="s">
        <v>181</v>
      </c>
      <c r="H34" s="191"/>
      <c r="I34" s="191"/>
      <c r="J34" s="191"/>
      <c r="K34" s="192"/>
      <c r="L34" s="123"/>
      <c r="M34" s="159" t="s">
        <v>60</v>
      </c>
      <c r="N34" s="160" t="s">
        <v>272</v>
      </c>
      <c r="O34" s="161" t="s">
        <v>197</v>
      </c>
      <c r="P34" s="162" t="s">
        <v>34</v>
      </c>
      <c r="Q34" s="33">
        <v>1148.8900000000001</v>
      </c>
      <c r="R34" s="36">
        <f>5.02*1.0589</f>
        <v>5.3156779999999992</v>
      </c>
      <c r="S34" s="33">
        <f>ROUND(R34*1.2685,2)</f>
        <v>6.74</v>
      </c>
      <c r="T34" s="66">
        <f>ROUND(S34*Q34,2)</f>
        <v>7743.52</v>
      </c>
    </row>
    <row r="35" spans="2:20" s="155" customFormat="1" ht="24.75" customHeight="1" x14ac:dyDescent="0.25">
      <c r="B35" s="126" t="s">
        <v>178</v>
      </c>
      <c r="C35" s="127" t="s">
        <v>179</v>
      </c>
      <c r="D35" s="128" t="s">
        <v>194</v>
      </c>
      <c r="E35" s="129" t="s">
        <v>180</v>
      </c>
      <c r="F35" s="130" t="s">
        <v>177</v>
      </c>
      <c r="G35" s="133" t="s">
        <v>178</v>
      </c>
      <c r="H35" s="127" t="s">
        <v>179</v>
      </c>
      <c r="I35" s="128" t="s">
        <v>194</v>
      </c>
      <c r="J35" s="129" t="s">
        <v>180</v>
      </c>
      <c r="K35" s="130" t="s">
        <v>177</v>
      </c>
      <c r="L35" s="123"/>
      <c r="M35" s="159" t="s">
        <v>195</v>
      </c>
      <c r="N35" s="160" t="s">
        <v>200</v>
      </c>
      <c r="O35" s="161" t="s">
        <v>199</v>
      </c>
      <c r="P35" s="162" t="s">
        <v>34</v>
      </c>
      <c r="Q35" s="33">
        <v>1148.8900000000001</v>
      </c>
      <c r="R35" s="36">
        <v>2.2200000000000002</v>
      </c>
      <c r="S35" s="33">
        <f>ROUND(R35*1.2685,2)</f>
        <v>2.82</v>
      </c>
      <c r="T35" s="66">
        <f>ROUND(S35*Q35,2)</f>
        <v>3239.87</v>
      </c>
    </row>
    <row r="36" spans="2:20" s="155" customFormat="1" ht="25.5" customHeight="1" x14ac:dyDescent="0.25">
      <c r="B36" s="131" t="s">
        <v>182</v>
      </c>
      <c r="C36" s="125">
        <v>1.5</v>
      </c>
      <c r="D36" s="125">
        <f>3.05*2+1.7*2</f>
        <v>9.5</v>
      </c>
      <c r="E36" s="125">
        <f>0.6*0.6+2.1*0.9</f>
        <v>2.25</v>
      </c>
      <c r="F36" s="132">
        <f t="shared" ref="F36:F39" si="3">C36*D36-E36</f>
        <v>12</v>
      </c>
      <c r="G36" s="134" t="s">
        <v>266</v>
      </c>
      <c r="H36" s="125">
        <v>5.75</v>
      </c>
      <c r="I36" s="125">
        <f>8.3+6.45+8.3+6.75</f>
        <v>29.8</v>
      </c>
      <c r="J36" s="125">
        <f>(2.1*0.9)+(0.9*1.2*6)</f>
        <v>8.370000000000001</v>
      </c>
      <c r="K36" s="158">
        <f>(H36*I36)-J36</f>
        <v>162.97999999999999</v>
      </c>
      <c r="L36" s="123"/>
      <c r="M36" s="159" t="s">
        <v>196</v>
      </c>
      <c r="N36" s="160" t="s">
        <v>230</v>
      </c>
      <c r="O36" s="161" t="s">
        <v>231</v>
      </c>
      <c r="P36" s="162" t="s">
        <v>34</v>
      </c>
      <c r="Q36" s="33">
        <v>844.32</v>
      </c>
      <c r="R36" s="36">
        <v>18.09</v>
      </c>
      <c r="S36" s="33">
        <f>ROUND(R36*1.2685,2)</f>
        <v>22.95</v>
      </c>
      <c r="T36" s="66">
        <f>ROUND(S36*Q36,2)</f>
        <v>19377.14</v>
      </c>
    </row>
    <row r="37" spans="2:20" s="155" customFormat="1" ht="15" customHeight="1" x14ac:dyDescent="0.25">
      <c r="B37" s="131" t="s">
        <v>183</v>
      </c>
      <c r="C37" s="125">
        <v>1.5</v>
      </c>
      <c r="D37" s="125">
        <f>3*2+1.65*2</f>
        <v>9.3000000000000007</v>
      </c>
      <c r="E37" s="125">
        <f>0.6*0.6+2.1*0.9</f>
        <v>2.25</v>
      </c>
      <c r="F37" s="132">
        <f t="shared" si="3"/>
        <v>11.700000000000001</v>
      </c>
      <c r="G37" s="134" t="s">
        <v>265</v>
      </c>
      <c r="H37" s="125">
        <v>5.25</v>
      </c>
      <c r="I37" s="125">
        <v>20.149999999999999</v>
      </c>
      <c r="J37" s="125">
        <f>(0.9*1.2*12)+(0.6*0.6*2)</f>
        <v>13.680000000000001</v>
      </c>
      <c r="K37" s="158">
        <f t="shared" ref="K37:K45" si="4">H37*I37-J37</f>
        <v>92.107499999999987</v>
      </c>
      <c r="L37" s="123"/>
      <c r="M37" s="159" t="s">
        <v>202</v>
      </c>
      <c r="N37" s="160" t="s">
        <v>201</v>
      </c>
      <c r="O37" s="161" t="s">
        <v>232</v>
      </c>
      <c r="P37" s="162" t="s">
        <v>34</v>
      </c>
      <c r="Q37" s="33">
        <v>304.58</v>
      </c>
      <c r="R37" s="36">
        <v>14.82</v>
      </c>
      <c r="S37" s="33">
        <f>ROUND(R37*1.2685,2)</f>
        <v>18.8</v>
      </c>
      <c r="T37" s="66">
        <f>ROUND(S37*Q37,2)</f>
        <v>5726.1</v>
      </c>
    </row>
    <row r="38" spans="2:20" s="155" customFormat="1" ht="16.5" x14ac:dyDescent="0.25">
      <c r="B38" s="131" t="s">
        <v>184</v>
      </c>
      <c r="C38" s="125">
        <v>3</v>
      </c>
      <c r="D38" s="125">
        <f>8*2+6.3*2</f>
        <v>28.6</v>
      </c>
      <c r="E38" s="125">
        <f>0.9*1.2*6+2.1*0.9</f>
        <v>8.370000000000001</v>
      </c>
      <c r="F38" s="132">
        <f t="shared" si="3"/>
        <v>77.430000000000007</v>
      </c>
      <c r="G38" s="134" t="s">
        <v>267</v>
      </c>
      <c r="H38" s="157">
        <v>5</v>
      </c>
      <c r="I38" s="156">
        <f>6.5+8.5+1.1</f>
        <v>16.100000000000001</v>
      </c>
      <c r="J38" s="125">
        <f>2.1*0.9</f>
        <v>1.8900000000000001</v>
      </c>
      <c r="K38" s="132">
        <f t="shared" si="4"/>
        <v>78.61</v>
      </c>
      <c r="L38" s="123"/>
      <c r="M38" s="170" t="s">
        <v>61</v>
      </c>
      <c r="N38" s="170"/>
      <c r="O38" s="170"/>
      <c r="P38" s="170"/>
      <c r="Q38" s="170"/>
      <c r="R38" s="170"/>
      <c r="S38" s="170"/>
      <c r="T38" s="67">
        <f>SUM(T34:T37,)</f>
        <v>36086.629999999997</v>
      </c>
    </row>
    <row r="39" spans="2:20" s="155" customFormat="1" x14ac:dyDescent="0.25">
      <c r="B39" s="131" t="s">
        <v>185</v>
      </c>
      <c r="C39" s="125">
        <v>3</v>
      </c>
      <c r="D39" s="125">
        <f>1.5*2+5.05*2</f>
        <v>13.1</v>
      </c>
      <c r="E39" s="125">
        <f>0.6*0.6+2.1*0.9</f>
        <v>2.25</v>
      </c>
      <c r="F39" s="132">
        <f t="shared" si="3"/>
        <v>37.049999999999997</v>
      </c>
      <c r="G39" s="134" t="s">
        <v>268</v>
      </c>
      <c r="H39" s="157">
        <v>3.5</v>
      </c>
      <c r="I39" s="157">
        <f>1.5+1.2</f>
        <v>2.7</v>
      </c>
      <c r="J39" s="125">
        <f>2.1*0.9*2</f>
        <v>3.7800000000000002</v>
      </c>
      <c r="K39" s="132">
        <f t="shared" si="4"/>
        <v>5.6700000000000008</v>
      </c>
      <c r="L39" s="123"/>
      <c r="M39" s="123"/>
      <c r="N39" s="106"/>
    </row>
    <row r="40" spans="2:20" s="155" customFormat="1" ht="22.5" x14ac:dyDescent="0.25">
      <c r="B40" s="131" t="s">
        <v>270</v>
      </c>
      <c r="C40" s="125">
        <v>3</v>
      </c>
      <c r="D40" s="125">
        <f>6.2*2+8.2*2</f>
        <v>28.799999999999997</v>
      </c>
      <c r="E40" s="125">
        <f>0.9*1.2*6+2.1*0.9</f>
        <v>8.370000000000001</v>
      </c>
      <c r="F40" s="132">
        <f t="shared" ref="F40" si="5">C40*D40-E40</f>
        <v>78.029999999999987</v>
      </c>
      <c r="G40" s="134" t="s">
        <v>269</v>
      </c>
      <c r="H40" s="157">
        <v>3.5</v>
      </c>
      <c r="I40" s="157">
        <v>6.6</v>
      </c>
      <c r="J40" s="125">
        <f>0.6*0.6</f>
        <v>0.36</v>
      </c>
      <c r="K40" s="132">
        <f t="shared" si="4"/>
        <v>22.74</v>
      </c>
      <c r="L40" s="123"/>
      <c r="M40" s="123"/>
      <c r="N40" s="106"/>
    </row>
    <row r="41" spans="2:20" s="155" customFormat="1" ht="23.25" customHeight="1" x14ac:dyDescent="0.25">
      <c r="B41" s="131" t="s">
        <v>271</v>
      </c>
      <c r="C41" s="125">
        <v>3</v>
      </c>
      <c r="D41" s="125">
        <f>6*2+8*2</f>
        <v>28</v>
      </c>
      <c r="E41" s="125">
        <f>0.9*1.2*6+2.1*0.9</f>
        <v>8.370000000000001</v>
      </c>
      <c r="F41" s="132">
        <f>C41*D41-E41</f>
        <v>75.63</v>
      </c>
      <c r="G41" s="134" t="s">
        <v>273</v>
      </c>
      <c r="H41" s="157">
        <v>3.5</v>
      </c>
      <c r="I41" s="157">
        <f>6.15+10.15+6.05</f>
        <v>22.35</v>
      </c>
      <c r="J41" s="125">
        <f>2.1*0.9+0.6*0.6*2+1.2*1.6*2</f>
        <v>6.45</v>
      </c>
      <c r="K41" s="132">
        <f t="shared" si="4"/>
        <v>71.775000000000006</v>
      </c>
      <c r="L41" s="123"/>
      <c r="M41" s="123"/>
      <c r="N41" s="106"/>
    </row>
    <row r="42" spans="2:20" s="155" customFormat="1" x14ac:dyDescent="0.25">
      <c r="B42" s="131" t="s">
        <v>186</v>
      </c>
      <c r="C42" s="125">
        <v>0.6</v>
      </c>
      <c r="D42" s="125">
        <v>7.96</v>
      </c>
      <c r="E42" s="125">
        <v>0</v>
      </c>
      <c r="F42" s="132">
        <f t="shared" ref="F42:F43" si="6">C42*D42-E42</f>
        <v>4.7759999999999998</v>
      </c>
      <c r="G42" s="134" t="s">
        <v>275</v>
      </c>
      <c r="H42" s="157">
        <v>3.5</v>
      </c>
      <c r="I42" s="157">
        <f>12.55+10.25+6.3+5.3+10.25</f>
        <v>44.65</v>
      </c>
      <c r="J42" s="125">
        <f>1.2*1.5*8+2.1*0.9*3</f>
        <v>20.07</v>
      </c>
      <c r="K42" s="132">
        <f t="shared" si="4"/>
        <v>136.20500000000001</v>
      </c>
      <c r="L42" s="123"/>
      <c r="M42" s="123"/>
      <c r="N42" s="106"/>
    </row>
    <row r="43" spans="2:20" s="155" customFormat="1" ht="25.5" x14ac:dyDescent="0.25">
      <c r="B43" s="131" t="s">
        <v>193</v>
      </c>
      <c r="C43" s="125">
        <v>1</v>
      </c>
      <c r="D43" s="125">
        <v>7.96</v>
      </c>
      <c r="E43" s="125">
        <v>0</v>
      </c>
      <c r="F43" s="132">
        <f t="shared" si="6"/>
        <v>7.96</v>
      </c>
      <c r="G43" s="134" t="s">
        <v>276</v>
      </c>
      <c r="H43" s="157">
        <v>4</v>
      </c>
      <c r="I43" s="157">
        <f>3.3*2+10.85*2</f>
        <v>28.299999999999997</v>
      </c>
      <c r="J43" s="125">
        <f>1.2*1.5*2+2.1*0.9*2</f>
        <v>7.38</v>
      </c>
      <c r="K43" s="132">
        <f t="shared" si="4"/>
        <v>105.82</v>
      </c>
      <c r="L43" s="123"/>
      <c r="M43" s="123"/>
      <c r="N43" s="106"/>
    </row>
    <row r="44" spans="2:20" s="155" customFormat="1" x14ac:dyDescent="0.25">
      <c r="B44" s="131"/>
      <c r="C44" s="125"/>
      <c r="D44" s="125"/>
      <c r="E44" s="125"/>
      <c r="F44" s="132"/>
      <c r="G44" s="134" t="s">
        <v>277</v>
      </c>
      <c r="H44" s="157">
        <v>4</v>
      </c>
      <c r="I44" s="157">
        <f>3.85+6.3+2.75+0.9+1.1+1.1+2.15+4.05+2.15*3+1.8</f>
        <v>30.45</v>
      </c>
      <c r="J44" s="125">
        <f>0.6*0.3*5+2.1*0.9*6</f>
        <v>12.24</v>
      </c>
      <c r="K44" s="132">
        <f t="shared" si="4"/>
        <v>109.56</v>
      </c>
      <c r="L44" s="123"/>
      <c r="M44" s="123"/>
      <c r="N44" s="106"/>
    </row>
    <row r="45" spans="2:20" s="155" customFormat="1" ht="15" customHeight="1" x14ac:dyDescent="0.25">
      <c r="B45" s="131"/>
      <c r="C45" s="125"/>
      <c r="D45" s="125"/>
      <c r="E45" s="125"/>
      <c r="F45" s="132"/>
      <c r="G45" s="134" t="s">
        <v>274</v>
      </c>
      <c r="H45" s="157">
        <v>1</v>
      </c>
      <c r="I45" s="157">
        <f>20.85+10.25+20.75+2+3+2</f>
        <v>58.85</v>
      </c>
      <c r="J45" s="125">
        <v>0</v>
      </c>
      <c r="K45" s="132">
        <f t="shared" si="4"/>
        <v>58.85</v>
      </c>
      <c r="L45" s="123"/>
      <c r="M45" s="123"/>
      <c r="N45" s="106"/>
    </row>
    <row r="46" spans="2:20" s="155" customFormat="1" x14ac:dyDescent="0.25">
      <c r="B46" s="131"/>
      <c r="C46" s="125"/>
      <c r="D46" s="125"/>
      <c r="E46" s="125"/>
      <c r="F46" s="132"/>
      <c r="G46" s="134"/>
      <c r="H46" s="125"/>
      <c r="I46" s="125"/>
      <c r="J46" s="125"/>
      <c r="K46" s="132"/>
      <c r="L46" s="123"/>
      <c r="M46" s="123"/>
      <c r="N46" s="106"/>
    </row>
    <row r="47" spans="2:20" s="155" customFormat="1" x14ac:dyDescent="0.25">
      <c r="B47" s="131"/>
      <c r="C47" s="125"/>
      <c r="D47" s="125"/>
      <c r="E47" s="125"/>
      <c r="F47" s="132"/>
      <c r="G47" s="134"/>
      <c r="H47" s="125"/>
      <c r="I47" s="125"/>
      <c r="J47" s="125"/>
      <c r="K47" s="132"/>
      <c r="L47" s="123"/>
      <c r="M47" s="123"/>
      <c r="N47" s="106"/>
    </row>
    <row r="48" spans="2:20" s="155" customFormat="1" x14ac:dyDescent="0.25">
      <c r="B48" s="131"/>
      <c r="C48" s="125"/>
      <c r="D48" s="125"/>
      <c r="E48" s="125"/>
      <c r="F48" s="132"/>
      <c r="G48" s="134"/>
      <c r="H48" s="125"/>
      <c r="I48" s="125"/>
      <c r="J48" s="125"/>
      <c r="K48" s="132"/>
      <c r="L48" s="123"/>
      <c r="M48" s="123"/>
      <c r="N48" s="106"/>
    </row>
    <row r="49" spans="2:14" s="155" customFormat="1" ht="15.75" thickBot="1" x14ac:dyDescent="0.3">
      <c r="B49" s="144"/>
      <c r="C49" s="135"/>
      <c r="D49" s="117"/>
      <c r="E49" s="117"/>
      <c r="F49" s="142"/>
      <c r="G49" s="143"/>
      <c r="H49" s="135"/>
      <c r="I49" s="117"/>
      <c r="J49" s="117"/>
      <c r="K49" s="142"/>
      <c r="L49" s="123"/>
      <c r="M49" s="123"/>
      <c r="N49" s="106"/>
    </row>
    <row r="50" spans="2:14" s="155" customFormat="1" ht="15.75" thickBot="1" x14ac:dyDescent="0.3">
      <c r="B50" s="140"/>
      <c r="C50" s="139"/>
      <c r="D50" s="124" t="s">
        <v>192</v>
      </c>
      <c r="E50" s="183">
        <f>SUM(F36:F48)</f>
        <v>304.57599999999996</v>
      </c>
      <c r="F50" s="184"/>
      <c r="G50" s="140"/>
      <c r="H50" s="139"/>
      <c r="I50" s="124" t="s">
        <v>192</v>
      </c>
      <c r="J50" s="183">
        <f>SUM(K36:K48)</f>
        <v>844.3175</v>
      </c>
      <c r="K50" s="184"/>
      <c r="L50" s="123"/>
      <c r="M50" s="123"/>
      <c r="N50" s="106"/>
    </row>
    <row r="51" spans="2:14" s="155" customFormat="1" ht="16.5" thickBot="1" x14ac:dyDescent="0.3">
      <c r="B51" s="136"/>
      <c r="C51" s="137"/>
      <c r="D51" s="137"/>
      <c r="E51" s="137"/>
      <c r="F51" s="137"/>
      <c r="G51" s="137"/>
      <c r="H51" s="137"/>
      <c r="I51" s="138" t="s">
        <v>192</v>
      </c>
      <c r="J51" s="185">
        <f>SUM(E50,J50)</f>
        <v>1148.8934999999999</v>
      </c>
      <c r="K51" s="186"/>
      <c r="L51" s="123"/>
      <c r="M51" s="123"/>
      <c r="N51" s="106"/>
    </row>
    <row r="52" spans="2:14" s="155" customFormat="1" x14ac:dyDescent="0.25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06"/>
    </row>
    <row r="53" spans="2:14" x14ac:dyDescent="0.25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06"/>
    </row>
    <row r="54" spans="2:14" x14ac:dyDescent="0.25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06"/>
    </row>
    <row r="55" spans="2:14" ht="15" customHeight="1" x14ac:dyDescent="0.25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06"/>
    </row>
    <row r="56" spans="2:14" x14ac:dyDescent="0.25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06"/>
    </row>
    <row r="57" spans="2:14" x14ac:dyDescent="0.25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06"/>
    </row>
    <row r="58" spans="2:14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06"/>
    </row>
    <row r="59" spans="2:14" x14ac:dyDescent="0.25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06"/>
    </row>
    <row r="60" spans="2:14" x14ac:dyDescent="0.25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06"/>
    </row>
    <row r="61" spans="2:14" x14ac:dyDescent="0.25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06"/>
    </row>
    <row r="62" spans="2:14" x14ac:dyDescent="0.25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06"/>
    </row>
    <row r="63" spans="2:14" x14ac:dyDescent="0.25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06"/>
    </row>
    <row r="64" spans="2:14" x14ac:dyDescent="0.25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06"/>
    </row>
    <row r="65" spans="2:14" x14ac:dyDescent="0.25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06"/>
    </row>
    <row r="66" spans="2:14" x14ac:dyDescent="0.25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06"/>
    </row>
    <row r="67" spans="2:14" x14ac:dyDescent="0.25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06"/>
    </row>
    <row r="68" spans="2:14" x14ac:dyDescent="0.25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06"/>
    </row>
    <row r="69" spans="2:14" x14ac:dyDescent="0.25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06"/>
    </row>
    <row r="70" spans="2:14" x14ac:dyDescent="0.25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06"/>
    </row>
    <row r="71" spans="2:14" x14ac:dyDescent="0.25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06"/>
    </row>
    <row r="72" spans="2:14" x14ac:dyDescent="0.25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06"/>
    </row>
    <row r="73" spans="2:14" x14ac:dyDescent="0.25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06"/>
    </row>
    <row r="74" spans="2:14" x14ac:dyDescent="0.25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06"/>
    </row>
    <row r="75" spans="2:14" x14ac:dyDescent="0.25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06"/>
    </row>
    <row r="76" spans="2:14" x14ac:dyDescent="0.25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06"/>
    </row>
    <row r="77" spans="2:14" x14ac:dyDescent="0.25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06"/>
    </row>
    <row r="78" spans="2:14" x14ac:dyDescent="0.25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06"/>
    </row>
    <row r="79" spans="2:14" x14ac:dyDescent="0.25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06"/>
    </row>
    <row r="80" spans="2:14" x14ac:dyDescent="0.25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06"/>
    </row>
    <row r="81" spans="2:14" x14ac:dyDescent="0.25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06"/>
    </row>
    <row r="82" spans="2:14" x14ac:dyDescent="0.25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06"/>
    </row>
    <row r="83" spans="2:14" x14ac:dyDescent="0.25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06"/>
    </row>
    <row r="84" spans="2:14" x14ac:dyDescent="0.25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2:14" x14ac:dyDescent="0.25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2:14" x14ac:dyDescent="0.25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</row>
    <row r="87" spans="2:14" x14ac:dyDescent="0.25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</row>
    <row r="88" spans="2:14" x14ac:dyDescent="0.25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</row>
    <row r="89" spans="2:14" x14ac:dyDescent="0.25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</row>
    <row r="90" spans="2:14" x14ac:dyDescent="0.25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</row>
    <row r="91" spans="2:14" x14ac:dyDescent="0.25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</row>
    <row r="92" spans="2:14" x14ac:dyDescent="0.25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</row>
    <row r="93" spans="2:14" x14ac:dyDescent="0.25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</row>
    <row r="94" spans="2:14" x14ac:dyDescent="0.25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2:14" x14ac:dyDescent="0.25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2:14" x14ac:dyDescent="0.25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</row>
    <row r="97" spans="2:13" x14ac:dyDescent="0.25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</sheetData>
  <mergeCells count="20">
    <mergeCell ref="G2:K2"/>
    <mergeCell ref="B1:K1"/>
    <mergeCell ref="J11:K11"/>
    <mergeCell ref="E11:F11"/>
    <mergeCell ref="J12:K12"/>
    <mergeCell ref="B2:F2"/>
    <mergeCell ref="M20:S20"/>
    <mergeCell ref="B33:K33"/>
    <mergeCell ref="B34:F34"/>
    <mergeCell ref="G34:K34"/>
    <mergeCell ref="B15:K15"/>
    <mergeCell ref="B16:F16"/>
    <mergeCell ref="G16:K16"/>
    <mergeCell ref="E29:F29"/>
    <mergeCell ref="J29:K29"/>
    <mergeCell ref="M38:S38"/>
    <mergeCell ref="E50:F50"/>
    <mergeCell ref="J50:K50"/>
    <mergeCell ref="J51:K51"/>
    <mergeCell ref="J30:K30"/>
  </mergeCells>
  <pageMargins left="0.511811024" right="0.511811024" top="0.78740157499999996" bottom="0.78740157499999996" header="0.31496062000000002" footer="0.31496062000000002"/>
  <pageSetup paperSize="9" orientation="landscape" verticalDpi="0" r:id="rId1"/>
  <ignoredErrors>
    <ignoredError sqref="E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52" workbookViewId="0">
      <selection activeCell="H36" sqref="H36"/>
    </sheetView>
  </sheetViews>
  <sheetFormatPr defaultRowHeight="15" x14ac:dyDescent="0.25"/>
  <cols>
    <col min="1" max="1" width="5.140625" style="7" customWidth="1"/>
    <col min="2" max="2" width="14.85546875" style="7" customWidth="1"/>
    <col min="3" max="3" width="57" customWidth="1"/>
    <col min="4" max="4" width="5.85546875" style="7" customWidth="1"/>
    <col min="5" max="5" width="7.7109375" style="7" customWidth="1"/>
    <col min="6" max="7" width="10.7109375" style="7" customWidth="1"/>
    <col min="8" max="8" width="13.28515625" style="7" customWidth="1"/>
    <col min="9" max="9" width="10.85546875" style="7" customWidth="1"/>
    <col min="11" max="11" width="10" bestFit="1" customWidth="1"/>
    <col min="13" max="13" width="11" customWidth="1"/>
  </cols>
  <sheetData>
    <row r="1" spans="1:15" s="17" customFormat="1" ht="18" x14ac:dyDescent="0.25">
      <c r="A1" s="163"/>
      <c r="B1" s="164"/>
      <c r="C1" s="55" t="s">
        <v>27</v>
      </c>
      <c r="D1" s="80"/>
      <c r="E1" s="56"/>
      <c r="F1" s="56"/>
      <c r="G1" s="56"/>
      <c r="H1" s="62"/>
      <c r="I1" s="100"/>
      <c r="J1" s="22"/>
      <c r="K1" s="22"/>
      <c r="L1" s="22"/>
      <c r="M1" s="22"/>
      <c r="N1" s="22"/>
      <c r="O1" s="22"/>
    </row>
    <row r="2" spans="1:15" ht="18" x14ac:dyDescent="0.25">
      <c r="A2" s="165"/>
      <c r="B2" s="166"/>
      <c r="C2" s="46" t="s">
        <v>28</v>
      </c>
      <c r="D2" s="81"/>
      <c r="E2" s="25"/>
      <c r="F2" s="25"/>
      <c r="G2" s="25"/>
      <c r="H2" s="63"/>
      <c r="I2" s="100"/>
      <c r="J2" s="22"/>
      <c r="K2" s="195"/>
      <c r="L2" s="195"/>
      <c r="M2" s="195"/>
      <c r="N2" s="22"/>
      <c r="O2" s="22"/>
    </row>
    <row r="3" spans="1:15" ht="18" x14ac:dyDescent="0.25">
      <c r="A3" s="165"/>
      <c r="B3" s="166"/>
      <c r="C3" s="169" t="s">
        <v>82</v>
      </c>
      <c r="D3" s="81"/>
      <c r="E3" s="25"/>
      <c r="F3" s="25"/>
      <c r="G3" s="25"/>
      <c r="H3" s="63"/>
      <c r="I3" s="98"/>
      <c r="J3" s="22"/>
      <c r="K3" s="19"/>
      <c r="L3" s="22"/>
      <c r="M3" s="18"/>
      <c r="N3" s="22"/>
      <c r="O3" s="22"/>
    </row>
    <row r="4" spans="1:15" ht="18" x14ac:dyDescent="0.25">
      <c r="A4" s="165"/>
      <c r="B4" s="166"/>
      <c r="C4" s="169"/>
      <c r="D4" s="81"/>
      <c r="E4" s="25"/>
      <c r="F4" s="25"/>
      <c r="G4" s="25"/>
      <c r="H4" s="63"/>
      <c r="I4" s="18"/>
      <c r="J4" s="22"/>
      <c r="K4" s="99"/>
      <c r="L4" s="18"/>
      <c r="M4" s="18"/>
      <c r="N4" s="22"/>
      <c r="O4" s="22"/>
    </row>
    <row r="5" spans="1:15" ht="18" x14ac:dyDescent="0.25">
      <c r="A5" s="165"/>
      <c r="B5" s="166"/>
      <c r="C5" s="47" t="s">
        <v>83</v>
      </c>
      <c r="D5" s="81"/>
      <c r="E5" s="25"/>
      <c r="F5" s="25"/>
      <c r="G5" s="25"/>
      <c r="H5" s="63"/>
      <c r="I5" s="18"/>
      <c r="J5" s="22"/>
      <c r="K5" s="99"/>
      <c r="L5" s="22"/>
      <c r="M5" s="18"/>
      <c r="N5" s="22"/>
      <c r="O5" s="22"/>
    </row>
    <row r="6" spans="1:15" ht="15.75" x14ac:dyDescent="0.25">
      <c r="A6" s="167"/>
      <c r="B6" s="168"/>
      <c r="C6" s="57" t="s">
        <v>84</v>
      </c>
      <c r="D6" s="82"/>
      <c r="E6" s="58" t="s">
        <v>0</v>
      </c>
      <c r="F6" s="59">
        <v>0.26850000000000002</v>
      </c>
      <c r="G6" s="60"/>
      <c r="H6" s="61"/>
      <c r="I6" s="18"/>
      <c r="J6" s="22"/>
      <c r="K6" s="22"/>
      <c r="L6" s="22"/>
      <c r="M6" s="18"/>
      <c r="N6" s="22"/>
      <c r="O6" s="22"/>
    </row>
    <row r="7" spans="1:15" ht="35.25" customHeight="1" x14ac:dyDescent="0.25">
      <c r="A7" s="48" t="s">
        <v>1</v>
      </c>
      <c r="B7" s="49" t="s">
        <v>2</v>
      </c>
      <c r="C7" s="75" t="s">
        <v>3</v>
      </c>
      <c r="D7" s="83" t="s">
        <v>10</v>
      </c>
      <c r="E7" s="51" t="s">
        <v>4</v>
      </c>
      <c r="F7" s="52" t="s">
        <v>5</v>
      </c>
      <c r="G7" s="52" t="s">
        <v>6</v>
      </c>
      <c r="H7" s="64" t="s">
        <v>7</v>
      </c>
      <c r="I7" s="18"/>
      <c r="J7" s="22"/>
      <c r="K7" s="22"/>
      <c r="L7" s="22"/>
      <c r="M7" s="22"/>
      <c r="N7" s="22"/>
      <c r="O7" s="22"/>
    </row>
    <row r="8" spans="1:15" ht="16.5" x14ac:dyDescent="0.25">
      <c r="A8" s="53" t="s">
        <v>8</v>
      </c>
      <c r="B8" s="28"/>
      <c r="C8" s="29" t="s">
        <v>40</v>
      </c>
      <c r="D8" s="84"/>
      <c r="E8" s="30"/>
      <c r="F8" s="30"/>
      <c r="G8" s="30"/>
      <c r="H8" s="65"/>
      <c r="I8" s="18"/>
      <c r="J8" s="22"/>
      <c r="K8" s="22"/>
      <c r="L8" s="22"/>
      <c r="M8" s="22"/>
      <c r="N8" s="22"/>
      <c r="O8" s="22"/>
    </row>
    <row r="9" spans="1:15" ht="33" x14ac:dyDescent="0.25">
      <c r="A9" s="54" t="s">
        <v>9</v>
      </c>
      <c r="B9" s="92" t="s">
        <v>42</v>
      </c>
      <c r="C9" s="93" t="s">
        <v>94</v>
      </c>
      <c r="D9" s="85" t="s">
        <v>34</v>
      </c>
      <c r="E9" s="32">
        <f>50.64*2.2</f>
        <v>111.40800000000002</v>
      </c>
      <c r="F9" s="33">
        <v>21.58</v>
      </c>
      <c r="G9" s="33">
        <f>ROUND(F9*1.2685,2)</f>
        <v>27.37</v>
      </c>
      <c r="H9" s="66">
        <f>ROUND(G9*E9,2)</f>
        <v>3049.24</v>
      </c>
      <c r="I9" s="18"/>
      <c r="J9" s="22"/>
      <c r="K9" s="22"/>
      <c r="L9" s="22"/>
      <c r="M9" s="22"/>
      <c r="N9" s="22"/>
      <c r="O9" s="22"/>
    </row>
    <row r="10" spans="1:15" ht="16.5" x14ac:dyDescent="0.25">
      <c r="A10" s="170" t="s">
        <v>36</v>
      </c>
      <c r="B10" s="170"/>
      <c r="C10" s="170"/>
      <c r="D10" s="170"/>
      <c r="E10" s="170"/>
      <c r="F10" s="170"/>
      <c r="G10" s="170"/>
      <c r="H10" s="67">
        <f>SUM(H9:H9,)</f>
        <v>3049.24</v>
      </c>
      <c r="I10" s="18"/>
      <c r="J10" s="22"/>
      <c r="K10" s="22"/>
      <c r="L10" s="22"/>
      <c r="M10" s="22"/>
      <c r="N10" s="22"/>
      <c r="O10" s="22"/>
    </row>
    <row r="11" spans="1:15" ht="16.5" x14ac:dyDescent="0.25">
      <c r="A11" s="53" t="s">
        <v>11</v>
      </c>
      <c r="B11" s="28"/>
      <c r="C11" s="29" t="s">
        <v>62</v>
      </c>
      <c r="D11" s="84"/>
      <c r="E11" s="30"/>
      <c r="F11" s="30"/>
      <c r="G11" s="34"/>
      <c r="H11" s="65"/>
      <c r="I11" s="18"/>
      <c r="J11" s="22"/>
      <c r="K11" s="22"/>
      <c r="L11" s="22"/>
      <c r="M11" s="22"/>
      <c r="N11" s="22"/>
      <c r="O11" s="22"/>
    </row>
    <row r="12" spans="1:15" ht="16.5" x14ac:dyDescent="0.25">
      <c r="A12" s="78" t="s">
        <v>12</v>
      </c>
      <c r="B12" s="92" t="s">
        <v>131</v>
      </c>
      <c r="C12" s="79" t="s">
        <v>95</v>
      </c>
      <c r="D12" s="94" t="s">
        <v>96</v>
      </c>
      <c r="E12" s="37">
        <v>60</v>
      </c>
      <c r="F12" s="36">
        <v>1.05</v>
      </c>
      <c r="G12" s="33">
        <f t="shared" ref="G12:G22" si="0">ROUND(F12*1.2685,2)</f>
        <v>1.33</v>
      </c>
      <c r="H12" s="66">
        <f t="shared" ref="H12:H21" si="1">ROUND(G12*E12,2)</f>
        <v>79.8</v>
      </c>
      <c r="I12" s="18"/>
      <c r="J12" s="22"/>
      <c r="K12" s="22"/>
      <c r="L12" s="22"/>
      <c r="M12" s="22"/>
      <c r="N12" s="22"/>
      <c r="O12" s="22"/>
    </row>
    <row r="13" spans="1:15" ht="27" x14ac:dyDescent="0.25">
      <c r="A13" s="78" t="s">
        <v>15</v>
      </c>
      <c r="B13" s="95" t="s">
        <v>110</v>
      </c>
      <c r="C13" s="35" t="s">
        <v>111</v>
      </c>
      <c r="D13" s="94" t="s">
        <v>34</v>
      </c>
      <c r="E13" s="37">
        <v>167.07</v>
      </c>
      <c r="F13" s="38">
        <f>3.87* 2</f>
        <v>7.74</v>
      </c>
      <c r="G13" s="37">
        <f t="shared" si="0"/>
        <v>9.82</v>
      </c>
      <c r="H13" s="66">
        <f t="shared" si="1"/>
        <v>1640.63</v>
      </c>
      <c r="I13" s="18"/>
      <c r="J13" s="22"/>
      <c r="K13" s="22"/>
      <c r="L13" s="22"/>
      <c r="M13" s="22"/>
      <c r="N13" s="22"/>
      <c r="O13" s="22"/>
    </row>
    <row r="14" spans="1:15" ht="33" x14ac:dyDescent="0.25">
      <c r="A14" s="78" t="s">
        <v>52</v>
      </c>
      <c r="B14" s="92" t="s">
        <v>101</v>
      </c>
      <c r="C14" s="35" t="s">
        <v>100</v>
      </c>
      <c r="D14" s="94" t="s">
        <v>34</v>
      </c>
      <c r="E14" s="37">
        <v>48.8</v>
      </c>
      <c r="F14" s="36">
        <v>2.5</v>
      </c>
      <c r="G14" s="33">
        <f t="shared" si="0"/>
        <v>3.17</v>
      </c>
      <c r="H14" s="66">
        <f t="shared" si="1"/>
        <v>154.69999999999999</v>
      </c>
      <c r="I14" s="18"/>
      <c r="J14" s="22"/>
      <c r="K14" s="22"/>
      <c r="L14" s="22"/>
      <c r="M14" s="22"/>
      <c r="N14" s="22"/>
      <c r="O14" s="22"/>
    </row>
    <row r="15" spans="1:15" ht="27" x14ac:dyDescent="0.25">
      <c r="A15" s="78" t="s">
        <v>53</v>
      </c>
      <c r="B15" s="96" t="s">
        <v>99</v>
      </c>
      <c r="C15" s="35" t="s">
        <v>98</v>
      </c>
      <c r="D15" s="94" t="s">
        <v>34</v>
      </c>
      <c r="E15" s="37">
        <v>308.13</v>
      </c>
      <c r="F15" s="38">
        <f>16.76*1.1138</f>
        <v>18.667287999999999</v>
      </c>
      <c r="G15" s="37">
        <f t="shared" si="0"/>
        <v>23.68</v>
      </c>
      <c r="H15" s="66">
        <f t="shared" si="1"/>
        <v>7296.52</v>
      </c>
      <c r="I15" s="18"/>
      <c r="J15" s="22"/>
      <c r="K15" s="22"/>
      <c r="L15" s="22"/>
      <c r="M15" s="22"/>
      <c r="N15" s="22"/>
      <c r="O15" s="22"/>
    </row>
    <row r="16" spans="1:15" s="17" customFormat="1" ht="33" x14ac:dyDescent="0.25">
      <c r="A16" s="78" t="s">
        <v>54</v>
      </c>
      <c r="B16" s="92" t="s">
        <v>58</v>
      </c>
      <c r="C16" s="35" t="s">
        <v>138</v>
      </c>
      <c r="D16" s="85" t="s">
        <v>33</v>
      </c>
      <c r="E16" s="37">
        <v>1</v>
      </c>
      <c r="F16" s="36">
        <v>250</v>
      </c>
      <c r="G16" s="33">
        <f t="shared" si="0"/>
        <v>317.13</v>
      </c>
      <c r="H16" s="66">
        <f t="shared" si="1"/>
        <v>317.13</v>
      </c>
      <c r="I16" s="18"/>
      <c r="J16" s="22"/>
      <c r="K16" s="22"/>
      <c r="L16" s="22"/>
      <c r="M16" s="22"/>
      <c r="N16" s="22"/>
      <c r="O16" s="22"/>
    </row>
    <row r="17" spans="1:15" s="17" customFormat="1" ht="33" x14ac:dyDescent="0.25">
      <c r="A17" s="78" t="s">
        <v>68</v>
      </c>
      <c r="B17" s="92" t="s">
        <v>103</v>
      </c>
      <c r="C17" s="35" t="s">
        <v>102</v>
      </c>
      <c r="D17" s="86" t="s">
        <v>50</v>
      </c>
      <c r="E17" s="33">
        <f>0.15+0.06+0.861</f>
        <v>1.071</v>
      </c>
      <c r="F17" s="36">
        <v>80.03</v>
      </c>
      <c r="G17" s="33">
        <f t="shared" si="0"/>
        <v>101.52</v>
      </c>
      <c r="H17" s="66">
        <f t="shared" si="1"/>
        <v>108.73</v>
      </c>
      <c r="I17" s="18"/>
      <c r="J17" s="22"/>
      <c r="K17" s="22"/>
      <c r="L17" s="22"/>
      <c r="M17" s="22"/>
      <c r="N17" s="22"/>
      <c r="O17" s="22"/>
    </row>
    <row r="18" spans="1:15" ht="33" x14ac:dyDescent="0.25">
      <c r="A18" s="78" t="s">
        <v>69</v>
      </c>
      <c r="B18" s="92" t="s">
        <v>105</v>
      </c>
      <c r="C18" s="31" t="s">
        <v>104</v>
      </c>
      <c r="D18" s="87" t="s">
        <v>34</v>
      </c>
      <c r="E18" s="39">
        <f>14.68+16.74</f>
        <v>31.419999999999998</v>
      </c>
      <c r="F18" s="33">
        <f>19.8*1.1138</f>
        <v>22.053239999999999</v>
      </c>
      <c r="G18" s="33">
        <f t="shared" si="0"/>
        <v>27.97</v>
      </c>
      <c r="H18" s="68">
        <f>ROUND(G18*E18,2)</f>
        <v>878.82</v>
      </c>
      <c r="I18" s="18"/>
      <c r="J18" s="22"/>
      <c r="K18" s="22"/>
      <c r="L18" s="22"/>
      <c r="M18" s="22"/>
      <c r="N18" s="22"/>
      <c r="O18" s="22"/>
    </row>
    <row r="19" spans="1:15" ht="33" x14ac:dyDescent="0.25">
      <c r="A19" s="78" t="s">
        <v>70</v>
      </c>
      <c r="B19" s="92" t="s">
        <v>107</v>
      </c>
      <c r="C19" s="31" t="s">
        <v>106</v>
      </c>
      <c r="D19" s="87" t="s">
        <v>34</v>
      </c>
      <c r="E19" s="39">
        <f>48.05+50.4+4.33+4.2</f>
        <v>106.97999999999999</v>
      </c>
      <c r="F19" s="33">
        <f>8.54*1.1138</f>
        <v>9.5118519999999975</v>
      </c>
      <c r="G19" s="33">
        <f t="shared" si="0"/>
        <v>12.07</v>
      </c>
      <c r="H19" s="68">
        <f t="shared" si="1"/>
        <v>1291.25</v>
      </c>
      <c r="I19" s="18"/>
      <c r="J19" s="22"/>
      <c r="K19" s="22"/>
      <c r="L19" s="22"/>
      <c r="M19" s="22"/>
      <c r="N19" s="22"/>
      <c r="O19" s="22"/>
    </row>
    <row r="20" spans="1:15" ht="33" x14ac:dyDescent="0.25">
      <c r="A20" s="78" t="s">
        <v>87</v>
      </c>
      <c r="B20" s="92" t="s">
        <v>67</v>
      </c>
      <c r="C20" s="35" t="s">
        <v>139</v>
      </c>
      <c r="D20" s="85" t="s">
        <v>33</v>
      </c>
      <c r="E20" s="33">
        <v>6</v>
      </c>
      <c r="F20" s="36">
        <f>9.08*1.1138</f>
        <v>10.113303999999999</v>
      </c>
      <c r="G20" s="33">
        <f t="shared" si="0"/>
        <v>12.83</v>
      </c>
      <c r="H20" s="66">
        <f t="shared" si="1"/>
        <v>76.98</v>
      </c>
      <c r="I20" s="18"/>
      <c r="J20" s="22"/>
      <c r="K20" s="22"/>
      <c r="L20" s="22"/>
      <c r="M20" s="22"/>
      <c r="N20" s="22"/>
      <c r="O20" s="22"/>
    </row>
    <row r="21" spans="1:15" ht="33" x14ac:dyDescent="0.25">
      <c r="A21" s="78" t="s">
        <v>88</v>
      </c>
      <c r="B21" s="92" t="s">
        <v>48</v>
      </c>
      <c r="C21" s="35" t="s">
        <v>130</v>
      </c>
      <c r="D21" s="85" t="s">
        <v>47</v>
      </c>
      <c r="E21" s="33">
        <v>1</v>
      </c>
      <c r="F21" s="36">
        <f>242.17*1.1138</f>
        <v>269.72894599999995</v>
      </c>
      <c r="G21" s="33">
        <f t="shared" si="0"/>
        <v>342.15</v>
      </c>
      <c r="H21" s="66">
        <f t="shared" si="1"/>
        <v>342.15</v>
      </c>
      <c r="I21" s="18"/>
      <c r="J21" s="22"/>
      <c r="K21" s="22"/>
      <c r="L21" s="22"/>
      <c r="M21" s="22"/>
      <c r="N21" s="22"/>
      <c r="O21" s="22"/>
    </row>
    <row r="22" spans="1:15" ht="33" x14ac:dyDescent="0.25">
      <c r="A22" s="78" t="s">
        <v>89</v>
      </c>
      <c r="B22" s="92" t="s">
        <v>143</v>
      </c>
      <c r="C22" s="35" t="s">
        <v>129</v>
      </c>
      <c r="D22" s="85" t="s">
        <v>33</v>
      </c>
      <c r="E22" s="33">
        <f>6+6+1+6+2+2</f>
        <v>23</v>
      </c>
      <c r="F22" s="36">
        <f>9.08*1.1138</f>
        <v>10.113303999999999</v>
      </c>
      <c r="G22" s="33">
        <f t="shared" si="0"/>
        <v>12.83</v>
      </c>
      <c r="H22" s="66">
        <f>ROUND(G22*E22,2)</f>
        <v>295.08999999999997</v>
      </c>
      <c r="I22" s="18"/>
      <c r="J22" s="22"/>
      <c r="K22" s="22"/>
      <c r="L22" s="22"/>
      <c r="M22" s="22"/>
      <c r="N22" s="22"/>
      <c r="O22" s="22"/>
    </row>
    <row r="23" spans="1:15" ht="16.5" x14ac:dyDescent="0.25">
      <c r="A23" s="170" t="s">
        <v>37</v>
      </c>
      <c r="B23" s="170"/>
      <c r="C23" s="170"/>
      <c r="D23" s="170"/>
      <c r="E23" s="170"/>
      <c r="F23" s="170"/>
      <c r="G23" s="170"/>
      <c r="H23" s="67">
        <f>SUM(H12:H22,)</f>
        <v>12481.8</v>
      </c>
      <c r="I23" s="18"/>
      <c r="J23" s="22"/>
      <c r="K23" s="22"/>
      <c r="L23" s="22"/>
      <c r="M23" s="22"/>
      <c r="N23" s="22"/>
      <c r="O23" s="22"/>
    </row>
    <row r="24" spans="1:15" ht="16.5" x14ac:dyDescent="0.25">
      <c r="A24" s="53" t="s">
        <v>16</v>
      </c>
      <c r="B24" s="28"/>
      <c r="C24" s="29" t="s">
        <v>14</v>
      </c>
      <c r="D24" s="84"/>
      <c r="E24" s="30"/>
      <c r="F24" s="30"/>
      <c r="G24" s="34"/>
      <c r="H24" s="65"/>
      <c r="I24" s="18"/>
      <c r="J24" s="22"/>
      <c r="K24" s="22"/>
      <c r="L24" s="22"/>
      <c r="M24" s="22"/>
      <c r="N24" s="22"/>
      <c r="O24" s="22"/>
    </row>
    <row r="25" spans="1:15" ht="33" x14ac:dyDescent="0.25">
      <c r="A25" s="44" t="s">
        <v>17</v>
      </c>
      <c r="B25" s="95" t="s">
        <v>112</v>
      </c>
      <c r="C25" s="40" t="s">
        <v>113</v>
      </c>
      <c r="D25" s="86" t="s">
        <v>34</v>
      </c>
      <c r="E25" s="37">
        <f>(1.23*2)+(0.3*3)</f>
        <v>3.36</v>
      </c>
      <c r="F25" s="38">
        <f>23.1*1.1138</f>
        <v>25.72878</v>
      </c>
      <c r="G25" s="37">
        <f>ROUND(F25*1.2685,2)</f>
        <v>32.64</v>
      </c>
      <c r="H25" s="66">
        <f>ROUND(G25*E25,2)</f>
        <v>109.67</v>
      </c>
    </row>
    <row r="26" spans="1:15" ht="33" x14ac:dyDescent="0.25">
      <c r="A26" s="44" t="s">
        <v>51</v>
      </c>
      <c r="B26" s="92" t="s">
        <v>66</v>
      </c>
      <c r="C26" s="31" t="s">
        <v>132</v>
      </c>
      <c r="D26" s="86" t="s">
        <v>34</v>
      </c>
      <c r="E26" s="33">
        <f>((11.05+9.8)*1.5)+0.41</f>
        <v>31.685000000000002</v>
      </c>
      <c r="F26" s="36">
        <f>69.9*1.1138</f>
        <v>77.854619999999997</v>
      </c>
      <c r="G26" s="33">
        <f>ROUND(F26*1.2685,2)</f>
        <v>98.76</v>
      </c>
      <c r="H26" s="66">
        <f>ROUND(G26*E26,2)</f>
        <v>3129.21</v>
      </c>
    </row>
    <row r="27" spans="1:15" ht="33" x14ac:dyDescent="0.25">
      <c r="A27" s="44" t="s">
        <v>63</v>
      </c>
      <c r="B27" s="92" t="s">
        <v>114</v>
      </c>
      <c r="C27" s="31" t="s">
        <v>85</v>
      </c>
      <c r="D27" s="87" t="s">
        <v>34</v>
      </c>
      <c r="E27" s="39">
        <f>48.05+50.4+4.33+4.2</f>
        <v>106.97999999999999</v>
      </c>
      <c r="F27" s="33">
        <f>63.12*1.1138</f>
        <v>70.303055999999998</v>
      </c>
      <c r="G27" s="33">
        <f t="shared" ref="G27:G28" si="2">ROUND(F27*1.2685,2)</f>
        <v>89.18</v>
      </c>
      <c r="H27" s="68">
        <f t="shared" ref="H27:H28" si="3">ROUND(G27*E27,2)</f>
        <v>9540.48</v>
      </c>
    </row>
    <row r="28" spans="1:15" ht="33" x14ac:dyDescent="0.25">
      <c r="A28" s="44" t="s">
        <v>71</v>
      </c>
      <c r="B28" s="92" t="s">
        <v>116</v>
      </c>
      <c r="C28" s="31" t="s">
        <v>115</v>
      </c>
      <c r="D28" s="87" t="s">
        <v>35</v>
      </c>
      <c r="E28" s="39">
        <v>26.2</v>
      </c>
      <c r="F28" s="33">
        <f>8.21*1.1138</f>
        <v>9.1442980000000009</v>
      </c>
      <c r="G28" s="33">
        <f t="shared" si="2"/>
        <v>11.6</v>
      </c>
      <c r="H28" s="68">
        <f t="shared" si="3"/>
        <v>303.92</v>
      </c>
    </row>
    <row r="29" spans="1:15" ht="16.5" x14ac:dyDescent="0.25">
      <c r="A29" s="170" t="s">
        <v>38</v>
      </c>
      <c r="B29" s="170"/>
      <c r="C29" s="170"/>
      <c r="D29" s="170"/>
      <c r="E29" s="170"/>
      <c r="F29" s="170"/>
      <c r="G29" s="170"/>
      <c r="H29" s="67">
        <f>SUM(H25:H28,)</f>
        <v>13083.28</v>
      </c>
    </row>
    <row r="30" spans="1:15" ht="16.5" x14ac:dyDescent="0.25">
      <c r="A30" s="53" t="s">
        <v>18</v>
      </c>
      <c r="B30" s="28"/>
      <c r="C30" s="29" t="s">
        <v>23</v>
      </c>
      <c r="D30" s="84"/>
      <c r="E30" s="30"/>
      <c r="F30" s="30"/>
      <c r="G30" s="34"/>
      <c r="H30" s="65"/>
    </row>
    <row r="31" spans="1:15" ht="16.5" x14ac:dyDescent="0.25">
      <c r="A31" s="43" t="s">
        <v>19</v>
      </c>
      <c r="B31" s="92" t="s">
        <v>58</v>
      </c>
      <c r="C31" s="35" t="s">
        <v>120</v>
      </c>
      <c r="D31" s="85" t="s">
        <v>33</v>
      </c>
      <c r="E31" s="37">
        <v>10</v>
      </c>
      <c r="F31" s="36">
        <v>49.97</v>
      </c>
      <c r="G31" s="33">
        <f t="shared" ref="G31:G32" si="4">ROUND(F31*1.2685,2)</f>
        <v>63.39</v>
      </c>
      <c r="H31" s="66">
        <f t="shared" ref="H31:H32" si="5">ROUND(G31*E31,2)</f>
        <v>633.9</v>
      </c>
    </row>
    <row r="32" spans="1:15" ht="27" x14ac:dyDescent="0.25">
      <c r="A32" s="43" t="s">
        <v>133</v>
      </c>
      <c r="B32" s="95" t="s">
        <v>144</v>
      </c>
      <c r="C32" s="35" t="s">
        <v>126</v>
      </c>
      <c r="D32" s="85" t="s">
        <v>33</v>
      </c>
      <c r="E32" s="37">
        <v>2</v>
      </c>
      <c r="F32" s="38">
        <f>8.3*1.1138</f>
        <v>9.2445400000000006</v>
      </c>
      <c r="G32" s="37">
        <f t="shared" si="4"/>
        <v>11.73</v>
      </c>
      <c r="H32" s="66">
        <f t="shared" si="5"/>
        <v>23.46</v>
      </c>
    </row>
    <row r="33" spans="1:8" ht="33" x14ac:dyDescent="0.25">
      <c r="A33" s="43" t="s">
        <v>134</v>
      </c>
      <c r="B33" s="97" t="s">
        <v>58</v>
      </c>
      <c r="C33" s="41" t="s">
        <v>125</v>
      </c>
      <c r="D33" s="85" t="s">
        <v>33</v>
      </c>
      <c r="E33" s="33">
        <v>3</v>
      </c>
      <c r="F33" s="36">
        <v>45</v>
      </c>
      <c r="G33" s="33">
        <f>ROUND(F33*1.2685,2)</f>
        <v>57.08</v>
      </c>
      <c r="H33" s="66">
        <f>ROUND(G33*E33,2)</f>
        <v>171.24</v>
      </c>
    </row>
    <row r="34" spans="1:8" ht="16.5" x14ac:dyDescent="0.25">
      <c r="A34" s="170" t="s">
        <v>59</v>
      </c>
      <c r="B34" s="170"/>
      <c r="C34" s="170"/>
      <c r="D34" s="170"/>
      <c r="E34" s="170"/>
      <c r="F34" s="170"/>
      <c r="G34" s="170"/>
      <c r="H34" s="67">
        <f>SUM(H31:H33,)</f>
        <v>828.6</v>
      </c>
    </row>
    <row r="35" spans="1:8" ht="16.5" x14ac:dyDescent="0.25">
      <c r="A35" s="53" t="s">
        <v>20</v>
      </c>
      <c r="B35" s="28"/>
      <c r="C35" s="29" t="s">
        <v>86</v>
      </c>
      <c r="D35" s="84"/>
      <c r="E35" s="30"/>
      <c r="F35" s="30"/>
      <c r="G35" s="34"/>
      <c r="H35" s="65"/>
    </row>
    <row r="36" spans="1:8" ht="66" x14ac:dyDescent="0.25">
      <c r="A36" s="54" t="s">
        <v>21</v>
      </c>
      <c r="B36" s="92" t="s">
        <v>45</v>
      </c>
      <c r="C36" s="31" t="s">
        <v>140</v>
      </c>
      <c r="D36" s="85" t="s">
        <v>119</v>
      </c>
      <c r="E36" s="32">
        <f>308.13*25</f>
        <v>7703.25</v>
      </c>
      <c r="F36" s="33">
        <f>11.55*1.1138</f>
        <v>12.86439</v>
      </c>
      <c r="G36" s="33">
        <f>ROUND(F36*1.2685,2)</f>
        <v>16.32</v>
      </c>
      <c r="H36" s="66">
        <f>ROUND(G36*E36,2)</f>
        <v>125717.04</v>
      </c>
    </row>
    <row r="37" spans="1:8" ht="33" x14ac:dyDescent="0.25">
      <c r="A37" s="54" t="s">
        <v>43</v>
      </c>
      <c r="B37" s="92" t="s">
        <v>46</v>
      </c>
      <c r="C37" s="31" t="s">
        <v>141</v>
      </c>
      <c r="D37" s="86" t="s">
        <v>34</v>
      </c>
      <c r="E37" s="32">
        <v>308.13</v>
      </c>
      <c r="F37" s="42">
        <f>(65.05+7.41)*1.1138</f>
        <v>80.705947999999992</v>
      </c>
      <c r="G37" s="33">
        <f>ROUND(F37*1.2685,2)</f>
        <v>102.38</v>
      </c>
      <c r="H37" s="66">
        <f>ROUND(G37*E37,2)</f>
        <v>31546.35</v>
      </c>
    </row>
    <row r="38" spans="1:8" ht="16.5" x14ac:dyDescent="0.25">
      <c r="A38" s="170" t="s">
        <v>39</v>
      </c>
      <c r="B38" s="170"/>
      <c r="C38" s="170"/>
      <c r="D38" s="170"/>
      <c r="E38" s="170"/>
      <c r="F38" s="170"/>
      <c r="G38" s="170"/>
      <c r="H38" s="67">
        <f>SUM(H36:H37,)</f>
        <v>157263.38999999998</v>
      </c>
    </row>
    <row r="39" spans="1:8" ht="16.5" x14ac:dyDescent="0.25">
      <c r="A39" s="53" t="s">
        <v>22</v>
      </c>
      <c r="B39" s="28"/>
      <c r="C39" s="29" t="s">
        <v>41</v>
      </c>
      <c r="D39" s="84"/>
      <c r="E39" s="30"/>
      <c r="F39" s="30"/>
      <c r="G39" s="30"/>
      <c r="H39" s="65"/>
    </row>
    <row r="40" spans="1:8" ht="16.5" x14ac:dyDescent="0.25">
      <c r="A40" s="54" t="s">
        <v>24</v>
      </c>
      <c r="B40" s="92" t="s">
        <v>97</v>
      </c>
      <c r="C40" s="31" t="s">
        <v>109</v>
      </c>
      <c r="D40" s="85" t="s">
        <v>34</v>
      </c>
      <c r="E40" s="32">
        <v>167.07</v>
      </c>
      <c r="F40" s="37">
        <v>41.75</v>
      </c>
      <c r="G40" s="37">
        <f>ROUND(F40*1.2685,2)</f>
        <v>52.96</v>
      </c>
      <c r="H40" s="66">
        <f>ROUND(G40*E40,2)</f>
        <v>8848.0300000000007</v>
      </c>
    </row>
    <row r="41" spans="1:8" ht="16.5" x14ac:dyDescent="0.25">
      <c r="A41" s="170" t="s">
        <v>135</v>
      </c>
      <c r="B41" s="170"/>
      <c r="C41" s="170"/>
      <c r="D41" s="170"/>
      <c r="E41" s="170"/>
      <c r="F41" s="170"/>
      <c r="G41" s="170"/>
      <c r="H41" s="67">
        <f>SUM(H40:H40,)</f>
        <v>8848.0300000000007</v>
      </c>
    </row>
    <row r="42" spans="1:8" ht="16.5" x14ac:dyDescent="0.25">
      <c r="A42" s="53" t="s">
        <v>25</v>
      </c>
      <c r="B42" s="28"/>
      <c r="C42" s="29" t="s">
        <v>29</v>
      </c>
      <c r="D42" s="84"/>
      <c r="E42" s="30"/>
      <c r="F42" s="30"/>
      <c r="G42" s="34"/>
      <c r="H42" s="65"/>
    </row>
    <row r="43" spans="1:8" ht="33" x14ac:dyDescent="0.25">
      <c r="A43" s="43" t="s">
        <v>26</v>
      </c>
      <c r="B43" s="92" t="s">
        <v>108</v>
      </c>
      <c r="C43" s="35" t="s">
        <v>128</v>
      </c>
      <c r="D43" s="85" t="s">
        <v>33</v>
      </c>
      <c r="E43" s="33">
        <v>29</v>
      </c>
      <c r="F43" s="36">
        <v>76.31</v>
      </c>
      <c r="G43" s="33">
        <f t="shared" ref="G43" si="6">ROUND(F43*1.2685,2)</f>
        <v>96.8</v>
      </c>
      <c r="H43" s="66">
        <f>ROUND(G43*E43,2)</f>
        <v>2807.2</v>
      </c>
    </row>
    <row r="44" spans="1:8" ht="16.5" x14ac:dyDescent="0.25">
      <c r="A44" s="170" t="s">
        <v>136</v>
      </c>
      <c r="B44" s="170"/>
      <c r="C44" s="170"/>
      <c r="D44" s="170"/>
      <c r="E44" s="170"/>
      <c r="F44" s="170"/>
      <c r="G44" s="170"/>
      <c r="H44" s="67">
        <f>SUM(H43:H43,)</f>
        <v>2807.2</v>
      </c>
    </row>
    <row r="45" spans="1:8" ht="16.5" x14ac:dyDescent="0.25">
      <c r="A45" s="53" t="s">
        <v>72</v>
      </c>
      <c r="B45" s="28"/>
      <c r="C45" s="29" t="s">
        <v>79</v>
      </c>
      <c r="D45" s="84"/>
      <c r="E45" s="30"/>
      <c r="F45" s="30"/>
      <c r="G45" s="34"/>
      <c r="H45" s="65"/>
    </row>
    <row r="46" spans="1:8" ht="33" x14ac:dyDescent="0.25">
      <c r="A46" s="43" t="s">
        <v>31</v>
      </c>
      <c r="B46" s="97" t="s">
        <v>117</v>
      </c>
      <c r="C46" s="41" t="s">
        <v>118</v>
      </c>
      <c r="D46" s="85" t="s">
        <v>35</v>
      </c>
      <c r="E46" s="33">
        <f>2.05+2.05</f>
        <v>4.0999999999999996</v>
      </c>
      <c r="F46" s="36">
        <f>595.92*1.1138</f>
        <v>663.73569599999985</v>
      </c>
      <c r="G46" s="33">
        <f>ROUND(F46*1.2685,2)</f>
        <v>841.95</v>
      </c>
      <c r="H46" s="66">
        <f>ROUND(G46*E46,2)</f>
        <v>3452</v>
      </c>
    </row>
    <row r="47" spans="1:8" ht="33" x14ac:dyDescent="0.25">
      <c r="A47" s="43" t="s">
        <v>90</v>
      </c>
      <c r="B47" s="97" t="s">
        <v>122</v>
      </c>
      <c r="C47" s="41" t="s">
        <v>121</v>
      </c>
      <c r="D47" s="85" t="s">
        <v>34</v>
      </c>
      <c r="E47" s="33">
        <f>(1.75*0.3)*2</f>
        <v>1.05</v>
      </c>
      <c r="F47" s="36">
        <f>144.83*1.1138</f>
        <v>161.311654</v>
      </c>
      <c r="G47" s="33">
        <f>ROUND(F47*1.2685,2)</f>
        <v>204.62</v>
      </c>
      <c r="H47" s="66">
        <f>ROUND(G47*E47,2)</f>
        <v>214.85</v>
      </c>
    </row>
    <row r="48" spans="1:8" ht="16.5" x14ac:dyDescent="0.25">
      <c r="A48" s="43" t="s">
        <v>91</v>
      </c>
      <c r="B48" s="97" t="s">
        <v>58</v>
      </c>
      <c r="C48" s="41" t="s">
        <v>123</v>
      </c>
      <c r="D48" s="85" t="s">
        <v>33</v>
      </c>
      <c r="E48" s="33">
        <v>2</v>
      </c>
      <c r="F48" s="36">
        <v>29.15</v>
      </c>
      <c r="G48" s="33">
        <f>ROUND(F48*1.2685,2)</f>
        <v>36.979999999999997</v>
      </c>
      <c r="H48" s="66">
        <f>ROUND(G48*E48,2)</f>
        <v>73.959999999999994</v>
      </c>
    </row>
    <row r="49" spans="1:8" ht="33" x14ac:dyDescent="0.25">
      <c r="A49" s="43" t="s">
        <v>92</v>
      </c>
      <c r="B49" s="97" t="s">
        <v>58</v>
      </c>
      <c r="C49" s="41" t="s">
        <v>127</v>
      </c>
      <c r="D49" s="85" t="s">
        <v>33</v>
      </c>
      <c r="E49" s="33">
        <v>3</v>
      </c>
      <c r="F49" s="36">
        <f>49.9+4.84</f>
        <v>54.739999999999995</v>
      </c>
      <c r="G49" s="33">
        <f>ROUND(F49*1.2685,2)</f>
        <v>69.44</v>
      </c>
      <c r="H49" s="66">
        <f>ROUND(G49*E49,2)</f>
        <v>208.32</v>
      </c>
    </row>
    <row r="50" spans="1:8" ht="16.5" x14ac:dyDescent="0.25">
      <c r="A50" s="43" t="s">
        <v>137</v>
      </c>
      <c r="B50" s="97" t="s">
        <v>58</v>
      </c>
      <c r="C50" s="41" t="s">
        <v>124</v>
      </c>
      <c r="D50" s="85" t="s">
        <v>33</v>
      </c>
      <c r="E50" s="33">
        <v>4</v>
      </c>
      <c r="F50" s="36">
        <v>14.35</v>
      </c>
      <c r="G50" s="33">
        <f>ROUND(F50*1.2685,2)</f>
        <v>18.2</v>
      </c>
      <c r="H50" s="66">
        <f>ROUND(G50*E50,2)</f>
        <v>72.8</v>
      </c>
    </row>
    <row r="51" spans="1:8" ht="16.5" x14ac:dyDescent="0.25">
      <c r="A51" s="170" t="s">
        <v>93</v>
      </c>
      <c r="B51" s="170"/>
      <c r="C51" s="170"/>
      <c r="D51" s="170"/>
      <c r="E51" s="170"/>
      <c r="F51" s="170"/>
      <c r="G51" s="170"/>
      <c r="H51" s="67">
        <f>SUM(H46:H50)</f>
        <v>4021.9300000000003</v>
      </c>
    </row>
    <row r="52" spans="1:8" ht="16.5" x14ac:dyDescent="0.25">
      <c r="A52" s="53" t="s">
        <v>73</v>
      </c>
      <c r="B52" s="28"/>
      <c r="C52" s="29" t="s">
        <v>49</v>
      </c>
      <c r="D52" s="84"/>
      <c r="E52" s="30"/>
      <c r="F52" s="30"/>
      <c r="G52" s="34"/>
      <c r="H52" s="65"/>
    </row>
    <row r="53" spans="1:8" ht="33" x14ac:dyDescent="0.25">
      <c r="A53" s="43" t="s">
        <v>60</v>
      </c>
      <c r="B53" s="97" t="s">
        <v>57</v>
      </c>
      <c r="C53" s="41" t="s">
        <v>55</v>
      </c>
      <c r="D53" s="86" t="s">
        <v>56</v>
      </c>
      <c r="E53" s="33">
        <v>1</v>
      </c>
      <c r="F53" s="36">
        <f>254.44*1.1138</f>
        <v>283.39527199999998</v>
      </c>
      <c r="G53" s="33">
        <f>ROUND(F53*1.2685,2)</f>
        <v>359.49</v>
      </c>
      <c r="H53" s="66">
        <f>ROUND(G53*E53,2)</f>
        <v>359.49</v>
      </c>
    </row>
    <row r="54" spans="1:8" ht="16.5" x14ac:dyDescent="0.25">
      <c r="A54" s="170" t="s">
        <v>61</v>
      </c>
      <c r="B54" s="170"/>
      <c r="C54" s="170"/>
      <c r="D54" s="170"/>
      <c r="E54" s="170"/>
      <c r="F54" s="170"/>
      <c r="G54" s="170"/>
      <c r="H54" s="67">
        <f>SUM(H53,)</f>
        <v>359.49</v>
      </c>
    </row>
    <row r="55" spans="1:8" ht="20.100000000000001" customHeight="1" x14ac:dyDescent="0.25">
      <c r="A55" s="53" t="s">
        <v>64</v>
      </c>
      <c r="B55" s="28"/>
      <c r="C55" s="29" t="s">
        <v>30</v>
      </c>
      <c r="D55" s="84"/>
      <c r="E55" s="30"/>
      <c r="F55" s="30"/>
      <c r="G55" s="34"/>
      <c r="H55" s="65"/>
    </row>
    <row r="56" spans="1:8" ht="16.5" x14ac:dyDescent="0.25">
      <c r="A56" s="43" t="s">
        <v>65</v>
      </c>
      <c r="B56" s="97" t="s">
        <v>74</v>
      </c>
      <c r="C56" s="41" t="s">
        <v>32</v>
      </c>
      <c r="D56" s="86" t="s">
        <v>34</v>
      </c>
      <c r="E56" s="33">
        <v>211.7</v>
      </c>
      <c r="F56" s="36">
        <v>2.4</v>
      </c>
      <c r="G56" s="33">
        <f>ROUND(F56*1.2685,2)</f>
        <v>3.04</v>
      </c>
      <c r="H56" s="66">
        <f>ROUND(G56*E56,2)</f>
        <v>643.57000000000005</v>
      </c>
    </row>
    <row r="57" spans="1:8" ht="20.100000000000001" customHeight="1" thickBot="1" x14ac:dyDescent="0.3">
      <c r="A57" s="175" t="s">
        <v>75</v>
      </c>
      <c r="B57" s="175"/>
      <c r="C57" s="175"/>
      <c r="D57" s="175"/>
      <c r="E57" s="175"/>
      <c r="F57" s="175"/>
      <c r="G57" s="175"/>
      <c r="H57" s="69">
        <f>SUM(H56,)</f>
        <v>643.57000000000005</v>
      </c>
    </row>
    <row r="58" spans="1:8" ht="20.100000000000001" customHeight="1" thickBot="1" x14ac:dyDescent="0.3">
      <c r="A58" s="179" t="s">
        <v>13</v>
      </c>
      <c r="B58" s="180"/>
      <c r="C58" s="180"/>
      <c r="D58" s="180"/>
      <c r="E58" s="180"/>
      <c r="F58" s="180"/>
      <c r="G58" s="181"/>
      <c r="H58" s="70">
        <f>SUM(H10,H23,H29,H34,H38,H41,H44,H51,H54,H57)</f>
        <v>203386.53</v>
      </c>
    </row>
    <row r="59" spans="1:8" ht="16.5" x14ac:dyDescent="0.25">
      <c r="A59" s="176" t="s">
        <v>81</v>
      </c>
      <c r="B59" s="176"/>
      <c r="C59" s="45"/>
      <c r="D59" s="88"/>
      <c r="E59" s="45"/>
      <c r="F59" s="178"/>
      <c r="G59" s="178"/>
      <c r="H59" s="178"/>
    </row>
    <row r="60" spans="1:8" x14ac:dyDescent="0.25">
      <c r="A60" s="174" t="s">
        <v>76</v>
      </c>
      <c r="B60" s="174"/>
      <c r="C60" s="174"/>
      <c r="D60" s="174"/>
      <c r="E60" s="174"/>
      <c r="F60" s="174"/>
      <c r="G60" s="174"/>
      <c r="H60" s="174"/>
    </row>
    <row r="61" spans="1:8" ht="16.5" x14ac:dyDescent="0.25">
      <c r="A61" s="22"/>
      <c r="B61" s="22"/>
      <c r="C61" s="22"/>
      <c r="D61" s="89"/>
      <c r="E61" s="26"/>
      <c r="F61" s="182" t="s">
        <v>80</v>
      </c>
      <c r="G61" s="182"/>
      <c r="H61" s="182"/>
    </row>
    <row r="62" spans="1:8" x14ac:dyDescent="0.25">
      <c r="A62" s="77"/>
      <c r="B62" s="77"/>
      <c r="C62" s="23"/>
      <c r="D62" s="90"/>
      <c r="E62" s="27"/>
      <c r="F62" s="27"/>
      <c r="G62" s="27"/>
      <c r="H62" s="71"/>
    </row>
    <row r="63" spans="1:8" x14ac:dyDescent="0.25">
      <c r="A63" s="22"/>
      <c r="B63" s="22"/>
      <c r="C63" s="22"/>
      <c r="D63" s="89"/>
      <c r="E63" s="26"/>
      <c r="F63" s="26"/>
      <c r="G63" s="26"/>
      <c r="H63" s="72"/>
    </row>
    <row r="64" spans="1:8" x14ac:dyDescent="0.25">
      <c r="A64" s="77"/>
      <c r="B64" s="77"/>
      <c r="C64" s="23"/>
      <c r="D64" s="90"/>
      <c r="E64" s="27"/>
      <c r="F64" s="27"/>
      <c r="G64" s="27"/>
      <c r="H64" s="71"/>
    </row>
    <row r="65" spans="1:8" x14ac:dyDescent="0.25">
      <c r="A65" s="22"/>
      <c r="B65" s="22"/>
      <c r="C65" s="22"/>
      <c r="D65" s="89"/>
      <c r="E65" s="26"/>
      <c r="F65" s="26"/>
      <c r="G65" s="26"/>
      <c r="H65" s="72"/>
    </row>
    <row r="66" spans="1:8" x14ac:dyDescent="0.25">
      <c r="A66" s="77"/>
      <c r="B66" s="77"/>
      <c r="C66" s="23"/>
      <c r="D66" s="90"/>
      <c r="E66" s="27"/>
      <c r="F66" s="27"/>
      <c r="G66" s="27"/>
      <c r="H66" s="71"/>
    </row>
    <row r="67" spans="1:8" x14ac:dyDescent="0.25">
      <c r="A67" s="173" t="s">
        <v>77</v>
      </c>
      <c r="B67" s="173"/>
      <c r="C67" s="173"/>
      <c r="D67" s="173"/>
      <c r="E67" s="173"/>
      <c r="F67" s="173"/>
      <c r="G67" s="173"/>
      <c r="H67" s="173"/>
    </row>
    <row r="68" spans="1:8" x14ac:dyDescent="0.25">
      <c r="A68" s="172" t="s">
        <v>78</v>
      </c>
      <c r="B68" s="173"/>
      <c r="C68" s="173"/>
      <c r="D68" s="173"/>
      <c r="E68" s="173"/>
      <c r="F68" s="173"/>
      <c r="G68" s="173"/>
      <c r="H68" s="173"/>
    </row>
  </sheetData>
  <mergeCells count="20">
    <mergeCell ref="K2:M2"/>
    <mergeCell ref="A1:B6"/>
    <mergeCell ref="C3:C4"/>
    <mergeCell ref="A10:G10"/>
    <mergeCell ref="A23:G23"/>
    <mergeCell ref="A29:G29"/>
    <mergeCell ref="A34:G34"/>
    <mergeCell ref="A38:G38"/>
    <mergeCell ref="A41:G41"/>
    <mergeCell ref="A44:G44"/>
    <mergeCell ref="A51:G51"/>
    <mergeCell ref="A54:G54"/>
    <mergeCell ref="A57:G57"/>
    <mergeCell ref="A67:H67"/>
    <mergeCell ref="A68:H68"/>
    <mergeCell ref="A58:G58"/>
    <mergeCell ref="A59:B59"/>
    <mergeCell ref="F59:H59"/>
    <mergeCell ref="A60:H60"/>
    <mergeCell ref="F61:H6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Plan1</vt:lpstr>
      <vt:lpstr>Pintura</vt:lpstr>
      <vt:lpstr> 2</vt:lpstr>
      <vt:lpstr>Pintura!Area_de_impressao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estagioeduca01</dc:creator>
  <cp:lastModifiedBy>edmundo</cp:lastModifiedBy>
  <cp:lastPrinted>2018-08-15T17:59:15Z</cp:lastPrinted>
  <dcterms:created xsi:type="dcterms:W3CDTF">2018-03-13T17:21:47Z</dcterms:created>
  <dcterms:modified xsi:type="dcterms:W3CDTF">2018-08-15T18:00:37Z</dcterms:modified>
</cp:coreProperties>
</file>