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105" windowWidth="19320" windowHeight="9780"/>
  </bookViews>
  <sheets>
    <sheet name="Orçamento" sheetId="1" r:id="rId1"/>
    <sheet name="Cronograma físico-financeiro" sheetId="5" r:id="rId2"/>
    <sheet name="Quantitativos" sheetId="4" r:id="rId3"/>
    <sheet name="Composição" sheetId="3" r:id="rId4"/>
  </sheets>
  <definedNames>
    <definedName name="_xlnm.Print_Area" localSheetId="1">'Cronograma físico-financeiro'!$A$1:$O$26</definedName>
    <definedName name="_xlnm.Print_Area" localSheetId="0">Orçamento!$B$1:$I$91</definedName>
  </definedNames>
  <calcPr calcId="124519"/>
</workbook>
</file>

<file path=xl/calcChain.xml><?xml version="1.0" encoding="utf-8"?>
<calcChain xmlns="http://schemas.openxmlformats.org/spreadsheetml/2006/main">
  <c r="K69" i="1"/>
  <c r="H25"/>
  <c r="I25" s="1"/>
  <c r="H24"/>
  <c r="I24" s="1"/>
  <c r="H27"/>
  <c r="F26"/>
  <c r="F27" s="1"/>
  <c r="H26"/>
  <c r="K31"/>
  <c r="L31"/>
  <c r="F28"/>
  <c r="G28"/>
  <c r="H28" s="1"/>
  <c r="F40"/>
  <c r="F48"/>
  <c r="H48"/>
  <c r="H47"/>
  <c r="H81"/>
  <c r="I81" s="1"/>
  <c r="I82" s="1"/>
  <c r="D21" i="5" s="1"/>
  <c r="H75" i="1"/>
  <c r="H74"/>
  <c r="H62"/>
  <c r="H61"/>
  <c r="H60"/>
  <c r="G32"/>
  <c r="H32" s="1"/>
  <c r="H11"/>
  <c r="I27" l="1"/>
  <c r="I26"/>
  <c r="L33"/>
  <c r="I28"/>
  <c r="I48"/>
  <c r="I47"/>
  <c r="N21" i="5"/>
  <c r="F70" i="1" l="1"/>
  <c r="F69"/>
  <c r="F78"/>
  <c r="H78"/>
  <c r="G31" l="1"/>
  <c r="H31" s="1"/>
  <c r="I78"/>
  <c r="I79" s="1"/>
  <c r="D20" i="5" s="1"/>
  <c r="N20" s="1"/>
  <c r="F75" i="1" l="1"/>
  <c r="I74"/>
  <c r="F63"/>
  <c r="H63"/>
  <c r="F15"/>
  <c r="F17" i="3" s="1"/>
  <c r="G17" s="1"/>
  <c r="G16"/>
  <c r="G15"/>
  <c r="G14"/>
  <c r="G13"/>
  <c r="I75" i="1" l="1"/>
  <c r="I63"/>
  <c r="G18" i="3"/>
  <c r="G19" l="1"/>
  <c r="G15" i="1" s="1"/>
  <c r="H70" l="1"/>
  <c r="H69"/>
  <c r="H71"/>
  <c r="H59"/>
  <c r="C35" i="4"/>
  <c r="C34"/>
  <c r="C33"/>
  <c r="C32"/>
  <c r="F55" i="1"/>
  <c r="F62"/>
  <c r="I62" l="1"/>
  <c r="F31"/>
  <c r="F34"/>
  <c r="I31" l="1"/>
  <c r="F20"/>
  <c r="H20"/>
  <c r="I20" l="1"/>
  <c r="H19" l="1"/>
  <c r="I19" s="1"/>
  <c r="I21" s="1"/>
  <c r="D15" i="5" s="1"/>
  <c r="N15" s="1"/>
  <c r="F60" i="1" l="1"/>
  <c r="I61"/>
  <c r="I59"/>
  <c r="H58"/>
  <c r="F58"/>
  <c r="H57"/>
  <c r="I57" s="1"/>
  <c r="I58" l="1"/>
  <c r="I60"/>
  <c r="G56"/>
  <c r="H55"/>
  <c r="H15"/>
  <c r="F54"/>
  <c r="E8" i="3"/>
  <c r="G8" s="1"/>
  <c r="E6"/>
  <c r="G6" s="1"/>
  <c r="G7"/>
  <c r="E7"/>
  <c r="G5"/>
  <c r="E4"/>
  <c r="G4" s="1"/>
  <c r="F35" i="1"/>
  <c r="G23" i="4"/>
  <c r="G25"/>
  <c r="E24"/>
  <c r="G24" s="1"/>
  <c r="H15"/>
  <c r="I15" s="1"/>
  <c r="J15" s="1"/>
  <c r="H14"/>
  <c r="G14"/>
  <c r="G13"/>
  <c r="E9"/>
  <c r="E13"/>
  <c r="H13" s="1"/>
  <c r="I13" s="1"/>
  <c r="J13" s="1"/>
  <c r="F9"/>
  <c r="H11"/>
  <c r="I11" s="1"/>
  <c r="J11" s="1"/>
  <c r="H10"/>
  <c r="I10" s="1"/>
  <c r="J10" s="1"/>
  <c r="F7"/>
  <c r="H7" s="1"/>
  <c r="I7" s="1"/>
  <c r="J7" s="1"/>
  <c r="H29" i="1"/>
  <c r="H30"/>
  <c r="H56" l="1"/>
  <c r="I56" s="1"/>
  <c r="G9" i="3"/>
  <c r="G54" i="1" s="1"/>
  <c r="H54" s="1"/>
  <c r="I54" s="1"/>
  <c r="I14" i="4"/>
  <c r="J14" s="1"/>
  <c r="I55" i="1"/>
  <c r="I15"/>
  <c r="D18" i="4"/>
  <c r="F30" i="1" s="1"/>
  <c r="I30" s="1"/>
  <c r="G26" i="4"/>
  <c r="F32" i="1" s="1"/>
  <c r="I32" s="1"/>
  <c r="H9" i="4"/>
  <c r="I9" s="1"/>
  <c r="J9" s="1"/>
  <c r="D17" s="1"/>
  <c r="F29" i="1" s="1"/>
  <c r="I29" s="1"/>
  <c r="I38" l="1"/>
  <c r="H72"/>
  <c r="I72" s="1"/>
  <c r="H73"/>
  <c r="F66"/>
  <c r="F36"/>
  <c r="H37"/>
  <c r="F37"/>
  <c r="I37" l="1"/>
  <c r="H36"/>
  <c r="I36" s="1"/>
  <c r="I73" l="1"/>
  <c r="F67"/>
  <c r="H67"/>
  <c r="H66"/>
  <c r="I67" l="1"/>
  <c r="I66"/>
  <c r="H52" l="1"/>
  <c r="I52" s="1"/>
  <c r="H53"/>
  <c r="I53" s="1"/>
  <c r="F41"/>
  <c r="F46" s="1"/>
  <c r="F42"/>
  <c r="H51"/>
  <c r="I51" s="1"/>
  <c r="H50"/>
  <c r="I50" s="1"/>
  <c r="H49"/>
  <c r="I49" s="1"/>
  <c r="I71"/>
  <c r="I70"/>
  <c r="G34"/>
  <c r="H34" s="1"/>
  <c r="H35"/>
  <c r="H46"/>
  <c r="G68"/>
  <c r="H68" s="1"/>
  <c r="I69"/>
  <c r="H40"/>
  <c r="H41"/>
  <c r="H42"/>
  <c r="H43"/>
  <c r="I43" s="1"/>
  <c r="I46" l="1"/>
  <c r="I35"/>
  <c r="I42"/>
  <c r="I68"/>
  <c r="I76" s="1"/>
  <c r="D19" i="5" s="1"/>
  <c r="I40" i="1"/>
  <c r="I41"/>
  <c r="I64" l="1"/>
  <c r="K49" s="1"/>
  <c r="K50" s="1"/>
  <c r="K46"/>
  <c r="L19" i="5"/>
  <c r="J19"/>
  <c r="I44" i="1"/>
  <c r="D17" i="5" s="1"/>
  <c r="L17" l="1"/>
  <c r="N17"/>
  <c r="D18"/>
  <c r="N18" s="1"/>
  <c r="I34" i="1"/>
  <c r="L18" i="5" l="1"/>
  <c r="J18"/>
  <c r="D16"/>
  <c r="H16" i="1"/>
  <c r="I16" s="1"/>
  <c r="I17" s="1"/>
  <c r="H12"/>
  <c r="I12" s="1"/>
  <c r="I11"/>
  <c r="F16" i="5" l="1"/>
  <c r="N16"/>
  <c r="H16"/>
  <c r="L11" i="1"/>
  <c r="D14" i="5"/>
  <c r="H10" i="1"/>
  <c r="I10" s="1"/>
  <c r="I13" s="1"/>
  <c r="D13" i="5" s="1"/>
  <c r="L13" s="1"/>
  <c r="I5" i="1"/>
  <c r="K11" l="1"/>
  <c r="K12" s="1"/>
  <c r="J14" i="5"/>
  <c r="H14"/>
  <c r="L14"/>
  <c r="L22" s="1"/>
  <c r="M11" i="1"/>
  <c r="N11"/>
  <c r="L12"/>
  <c r="O11"/>
  <c r="P11" s="1"/>
  <c r="D22" i="5"/>
  <c r="I83" i="1"/>
  <c r="J13" i="5"/>
  <c r="N13"/>
  <c r="N22" s="1"/>
  <c r="H13"/>
  <c r="F13"/>
  <c r="N12" i="1" l="1"/>
  <c r="M12"/>
  <c r="O12"/>
  <c r="P12" s="1"/>
  <c r="F22" i="5"/>
  <c r="F23" s="1"/>
  <c r="H22"/>
  <c r="J22"/>
  <c r="E22"/>
  <c r="E19"/>
  <c r="D23"/>
  <c r="E16"/>
  <c r="E13"/>
  <c r="E15"/>
  <c r="E20"/>
  <c r="E21"/>
  <c r="E17"/>
  <c r="E18"/>
  <c r="E14"/>
  <c r="G22" l="1"/>
  <c r="G23" s="1"/>
  <c r="I22"/>
  <c r="K22"/>
  <c r="H23"/>
  <c r="J23" s="1"/>
  <c r="I23" l="1"/>
  <c r="K23" s="1"/>
  <c r="O22"/>
  <c r="L23"/>
  <c r="N23" s="1"/>
  <c r="M22"/>
  <c r="M23" l="1"/>
  <c r="O23" s="1"/>
</calcChain>
</file>

<file path=xl/comments1.xml><?xml version="1.0" encoding="utf-8"?>
<comments xmlns="http://schemas.openxmlformats.org/spreadsheetml/2006/main">
  <authors>
    <author>estagioeduca02</author>
    <author>estagioeduca01</author>
  </authors>
  <commentList>
    <comment ref="D12" authorId="0">
      <text>
        <r>
          <rPr>
            <b/>
            <sz val="8"/>
            <color indexed="81"/>
            <rFont val="Tahoma"/>
            <family val="2"/>
          </rPr>
          <t>estagioeduca02:</t>
        </r>
        <r>
          <rPr>
            <sz val="8"/>
            <color indexed="81"/>
            <rFont val="Tahoma"/>
            <family val="2"/>
          </rPr>
          <t xml:space="preserve">
PREÇO CONFERIDO COM A EMPRESA COLETORA DE ENTULHOS DE GASPAR (SC COLETORA DE ENTULHOS), NO DIA 25/06/2018, LARISSA LIGOU DIRETAMENTE PARA O LOCAL</t>
        </r>
      </text>
    </comment>
    <comment ref="G12" authorId="0">
      <text>
        <r>
          <rPr>
            <b/>
            <sz val="8"/>
            <color indexed="81"/>
            <rFont val="Tahoma"/>
            <family val="2"/>
          </rPr>
          <t>estagioeduca02:</t>
        </r>
        <r>
          <rPr>
            <sz val="8"/>
            <color indexed="81"/>
            <rFont val="Tahoma"/>
            <family val="2"/>
          </rPr>
          <t xml:space="preserve">
Valor da empresa sc coletora de entulhos é de r$ 200,00 por semana, e na planilha foi inserido o valor mensal de r$ 800,00 por 08 meses.</t>
        </r>
      </text>
    </comment>
    <comment ref="F15" authorId="1">
      <text>
        <r>
          <rPr>
            <b/>
            <sz val="9"/>
            <color indexed="81"/>
            <rFont val="Tahoma"/>
            <family val="2"/>
          </rPr>
          <t>estagioeduca01:</t>
        </r>
        <r>
          <rPr>
            <sz val="9"/>
            <color indexed="81"/>
            <rFont val="Tahoma"/>
            <family val="2"/>
          </rPr>
          <t xml:space="preserve">
4,15m³ para bancos</t>
        </r>
      </text>
    </comment>
    <comment ref="C25" authorId="1">
      <text>
        <r>
          <rPr>
            <b/>
            <sz val="9"/>
            <color indexed="81"/>
            <rFont val="Tahoma"/>
            <charset val="1"/>
          </rPr>
          <t>estagioeduca01:</t>
        </r>
        <r>
          <rPr>
            <sz val="9"/>
            <color indexed="81"/>
            <rFont val="Tahoma"/>
            <charset val="1"/>
          </rPr>
          <t xml:space="preserve">
Max Mohr</t>
        </r>
      </text>
    </comment>
    <comment ref="F27" authorId="1">
      <text>
        <r>
          <rPr>
            <b/>
            <sz val="9"/>
            <color indexed="81"/>
            <rFont val="Tahoma"/>
            <family val="2"/>
          </rPr>
          <t>estagioeduca01:</t>
        </r>
        <r>
          <rPr>
            <sz val="9"/>
            <color indexed="81"/>
            <rFont val="Tahoma"/>
            <family val="2"/>
          </rPr>
          <t xml:space="preserve">
Informação 14kg/m composição IPPUJ</t>
        </r>
      </text>
    </comment>
    <comment ref="C31" authorId="1">
      <text>
        <r>
          <rPr>
            <b/>
            <sz val="9"/>
            <color indexed="81"/>
            <rFont val="Tahoma"/>
            <family val="2"/>
          </rPr>
          <t>estagioeduca01:</t>
        </r>
        <r>
          <rPr>
            <sz val="9"/>
            <color indexed="81"/>
            <rFont val="Tahoma"/>
            <family val="2"/>
          </rPr>
          <t xml:space="preserve">
Santos 
ligar Dietrich</t>
        </r>
      </text>
    </comment>
    <comment ref="F34" authorId="1">
      <text>
        <r>
          <rPr>
            <b/>
            <sz val="9"/>
            <color indexed="81"/>
            <rFont val="Tahoma"/>
            <family val="2"/>
          </rPr>
          <t>estagioeduca01:</t>
        </r>
        <r>
          <rPr>
            <sz val="9"/>
            <color indexed="81"/>
            <rFont val="Tahoma"/>
            <family val="2"/>
          </rPr>
          <t xml:space="preserve">
17m cerca dupla</t>
        </r>
      </text>
    </comment>
    <comment ref="F40" authorId="1">
      <text>
        <r>
          <rPr>
            <b/>
            <sz val="9"/>
            <color indexed="81"/>
            <rFont val="Tahoma"/>
            <family val="2"/>
          </rPr>
          <t>estagioeduca01:</t>
        </r>
        <r>
          <rPr>
            <sz val="9"/>
            <color indexed="81"/>
            <rFont val="Tahoma"/>
            <family val="2"/>
          </rPr>
          <t xml:space="preserve">
201 metros linear
</t>
        </r>
      </text>
    </comment>
    <comment ref="F41" authorId="1">
      <text>
        <r>
          <rPr>
            <b/>
            <sz val="9"/>
            <color indexed="81"/>
            <rFont val="Tahoma"/>
            <family val="2"/>
          </rPr>
          <t>estagioeduca01:</t>
        </r>
        <r>
          <rPr>
            <sz val="9"/>
            <color indexed="81"/>
            <rFont val="Tahoma"/>
            <family val="2"/>
          </rPr>
          <t xml:space="preserve">
68 un</t>
        </r>
      </text>
    </comment>
    <comment ref="F42" authorId="1">
      <text>
        <r>
          <rPr>
            <b/>
            <sz val="9"/>
            <color indexed="81"/>
            <rFont val="Tahoma"/>
            <family val="2"/>
          </rPr>
          <t>estagioeduca01:</t>
        </r>
        <r>
          <rPr>
            <sz val="9"/>
            <color indexed="81"/>
            <rFont val="Tahoma"/>
            <family val="2"/>
          </rPr>
          <t xml:space="preserve">
Considerados 10% de  perda na hora da execução.</t>
        </r>
      </text>
    </comment>
    <comment ref="F55" authorId="1">
      <text>
        <r>
          <rPr>
            <b/>
            <sz val="9"/>
            <color indexed="81"/>
            <rFont val="Tahoma"/>
            <family val="2"/>
          </rPr>
          <t>estagioeduca01:</t>
        </r>
        <r>
          <rPr>
            <sz val="9"/>
            <color indexed="81"/>
            <rFont val="Tahoma"/>
            <family val="2"/>
          </rPr>
          <t xml:space="preserve">
870 brita estacionamento</t>
        </r>
      </text>
    </comment>
    <comment ref="C56" authorId="1">
      <text>
        <r>
          <rPr>
            <b/>
            <sz val="9"/>
            <color indexed="81"/>
            <rFont val="Tahoma"/>
            <family val="2"/>
          </rPr>
          <t>estagioeduca01:</t>
        </r>
        <r>
          <rPr>
            <sz val="9"/>
            <color indexed="81"/>
            <rFont val="Tahoma"/>
            <family val="2"/>
          </rPr>
          <t xml:space="preserve">
Solaris 
Tecnologia fotovoltaica</t>
        </r>
      </text>
    </comment>
  </commentList>
</comments>
</file>

<file path=xl/comments2.xml><?xml version="1.0" encoding="utf-8"?>
<comments xmlns="http://schemas.openxmlformats.org/spreadsheetml/2006/main">
  <authors>
    <author>estagioeduca01</author>
  </authors>
  <commentList>
    <comment ref="E6" authorId="0">
      <text>
        <r>
          <rPr>
            <b/>
            <sz val="9"/>
            <color indexed="81"/>
            <rFont val="Tahoma"/>
            <family val="2"/>
          </rPr>
          <t xml:space="preserve">estagioeduca01:
</t>
        </r>
        <r>
          <rPr>
            <sz val="9"/>
            <color indexed="81"/>
            <rFont val="Tahoma"/>
            <family val="2"/>
          </rPr>
          <t xml:space="preserve">unidade para bloco de coroamento
metro linear para viga
</t>
        </r>
      </text>
    </comment>
  </commentList>
</comments>
</file>

<file path=xl/comments3.xml><?xml version="1.0" encoding="utf-8"?>
<comments xmlns="http://schemas.openxmlformats.org/spreadsheetml/2006/main">
  <authors>
    <author>estagioeduca01</author>
  </authors>
  <commentList>
    <comment ref="E7" authorId="0">
      <text>
        <r>
          <rPr>
            <b/>
            <sz val="9"/>
            <color indexed="81"/>
            <rFont val="Tahoma"/>
            <family val="2"/>
          </rPr>
          <t>estagioeduca01:</t>
        </r>
        <r>
          <rPr>
            <sz val="9"/>
            <color indexed="81"/>
            <rFont val="Tahoma"/>
            <family val="2"/>
          </rPr>
          <t xml:space="preserve">
5kg/m² de argamassa 
</t>
        </r>
      </text>
    </comment>
  </commentList>
</comments>
</file>

<file path=xl/sharedStrings.xml><?xml version="1.0" encoding="utf-8"?>
<sst xmlns="http://schemas.openxmlformats.org/spreadsheetml/2006/main" count="405" uniqueCount="285">
  <si>
    <t>ORÇAMENTO</t>
  </si>
  <si>
    <t>BDI</t>
  </si>
  <si>
    <t>ITEM</t>
  </si>
  <si>
    <t>CÓDIGO</t>
  </si>
  <si>
    <t>DESCRIÇÃO</t>
  </si>
  <si>
    <t>UNIDADE</t>
  </si>
  <si>
    <t>QUANT.</t>
  </si>
  <si>
    <t>R$ UNITARIO</t>
  </si>
  <si>
    <t>R$ UNIT.C/BDI</t>
  </si>
  <si>
    <t xml:space="preserve">PREÇO TOTAL </t>
  </si>
  <si>
    <t>1.</t>
  </si>
  <si>
    <t>SERVIÇOS PRELIMINARES</t>
  </si>
  <si>
    <t>1.1</t>
  </si>
  <si>
    <t>1.2</t>
  </si>
  <si>
    <t>1.3</t>
  </si>
  <si>
    <t>2.</t>
  </si>
  <si>
    <t>2.2</t>
  </si>
  <si>
    <t>3.</t>
  </si>
  <si>
    <t>4.</t>
  </si>
  <si>
    <t>5.</t>
  </si>
  <si>
    <t>6.</t>
  </si>
  <si>
    <t>TOTAL GERAL</t>
  </si>
  <si>
    <t>Engenheiro Civil</t>
  </si>
  <si>
    <r>
      <t>TERRAPLENAGEM</t>
    </r>
    <r>
      <rPr>
        <b/>
        <sz val="10"/>
        <color rgb="FFFF0000"/>
        <rFont val="Arial"/>
        <family val="2"/>
      </rPr>
      <t xml:space="preserve"> </t>
    </r>
  </si>
  <si>
    <t>Placa da obra em chapa de aço galvanizado.</t>
  </si>
  <si>
    <t>m²</t>
  </si>
  <si>
    <t>un</t>
  </si>
  <si>
    <t>SINAPI 74209/001</t>
  </si>
  <si>
    <t>Mercado</t>
  </si>
  <si>
    <t xml:space="preserve"> </t>
  </si>
  <si>
    <t>EDMUNDO DE JESUS ARAÚJO JÚNIOR</t>
  </si>
  <si>
    <t>CREA/SC 053875-8</t>
  </si>
  <si>
    <t>mês</t>
  </si>
  <si>
    <t>Destinação de entulhos de obra (caçamba coletora) recolhidos por empresa especializada.</t>
  </si>
  <si>
    <t xml:space="preserve">     PREFEITURA MUNICIPAL DE GASPAR</t>
  </si>
  <si>
    <t xml:space="preserve">      Secretaria Municipal de Educação</t>
  </si>
  <si>
    <t xml:space="preserve">      OBRA: Urbanismo e Drenagem da E.E.F. Olímpio Moretto</t>
  </si>
  <si>
    <t xml:space="preserve">      Endereço: R. Pref. Leopoldo Schramm, bairro: Gaspar Grande</t>
  </si>
  <si>
    <t>Adequação do aterro com a construção, respeitando os caimentos representados em projeto.</t>
  </si>
  <si>
    <t>3.1</t>
  </si>
  <si>
    <t>IPPUJ C10.84.10.30.015</t>
  </si>
  <si>
    <t>m</t>
  </si>
  <si>
    <t>3.2</t>
  </si>
  <si>
    <t>ACESSIBILIDADE</t>
  </si>
  <si>
    <t>4.1</t>
  </si>
  <si>
    <t>4.2</t>
  </si>
  <si>
    <t>Blocos de concreto (paver 35mpa) podotátil alerta, cor vermelha, (20x20x6)cm assentados sobre  colchão de pó de pedra 10 cm de espessura compactado -  considerando 5% de empolamento. Ver prancha de acessibilidade.</t>
  </si>
  <si>
    <t xml:space="preserve">Blocos de concreto (paver 35mpa) podotátil direcional, cor vermelha, (20x20x6)cm assentados sobre  colchão de pó de pedra 10 cm de espessura compactado -  considerando 5% de empolamento. Ver prancha de acessibilidade. </t>
  </si>
  <si>
    <t>Piso podotátil direcional pvc (25x25)cm - para sobreposição em piso cerâmico, incluso material para colagem e mão de obra.</t>
  </si>
  <si>
    <t>URBANISMO</t>
  </si>
  <si>
    <t>Remoção de cerca metálica, mourão e viga de concreto.</t>
  </si>
  <si>
    <t>IPPUJ C35.10.25.05.001</t>
  </si>
  <si>
    <t>IPPUJ C20.05.10.25.011</t>
  </si>
  <si>
    <t>5.1</t>
  </si>
  <si>
    <t>5.2</t>
  </si>
  <si>
    <t>5.3</t>
  </si>
  <si>
    <t>5.4</t>
  </si>
  <si>
    <t>Execução de pavimentação c/ fornecimento de paver cinza (20x10x6)cm incluso lastro de areia fina ou pó de pedra para base.</t>
  </si>
  <si>
    <t>Total do item 1.</t>
  </si>
  <si>
    <t>Total do item 2.</t>
  </si>
  <si>
    <t>Total do item 3.</t>
  </si>
  <si>
    <t>Total do item 5.</t>
  </si>
  <si>
    <t>DRENAGEM</t>
  </si>
  <si>
    <t>6.1</t>
  </si>
  <si>
    <t>6.2</t>
  </si>
  <si>
    <t>6.3</t>
  </si>
  <si>
    <t>IPPUJ I16.10.05.05.1045</t>
  </si>
  <si>
    <t>6.4</t>
  </si>
  <si>
    <t>IPPUJ I16.10.05.05.1055</t>
  </si>
  <si>
    <t>IPPUJ I10.05.05.30.130</t>
  </si>
  <si>
    <t>IPPUJ I10.05.05.30.132</t>
  </si>
  <si>
    <t>Bancos em madeira plástica com encosto, cor de madeira itaúba, jatobá ou marfim - 2m de largura e 78 cm de altura, sendo 50cm de altura do chão até base do assento dos bancos. Conferir memorial descritivo.</t>
  </si>
  <si>
    <t>IPPUJ C10.84.45.20.015</t>
  </si>
  <si>
    <t>Lixeira para coleta seletiva seis cores com identificação de material para: papel, vidro, plástico, orgânico, metal e reciclável - separação -, colocada, incluso pedestal confecionado em ferro Ø 2", pintura epoxi - ver foto memorial.</t>
  </si>
  <si>
    <t>IPPUJ C10.84.45.20.005</t>
  </si>
  <si>
    <t>Lixeira tipo strasse padrão (0,45x0,45x1,00)m, corpo e cesto em aço galvanizado, acabamentos em alumínio fundido e madeira nobre tratada.</t>
  </si>
  <si>
    <t>IPPUJ I10.98.10.05.010</t>
  </si>
  <si>
    <t>Rede para traves de futebol com fios de 03 mm. Malha de polietileno - polipropileno (12x12) cm. Instalado nas traves.</t>
  </si>
  <si>
    <t>Trave para campo de esportes, 8 cm de diâmetro, dimensões (300x200) cm (largura/altura), 100 cm de recuo inferior e 60 cm de recuo superior na cor branca.</t>
  </si>
  <si>
    <t>IPPUJ I10.98.10.05.005</t>
  </si>
  <si>
    <t>par</t>
  </si>
  <si>
    <t>m³</t>
  </si>
  <si>
    <t>Tubo de concreto armado classe PA-2 PB NBR-8890/2007 DN 400mm para águas pluviais.</t>
  </si>
  <si>
    <t>IPPUJ C10.64.20.25.010</t>
  </si>
  <si>
    <t>Cerca tipo gradil em aço galvanizado na cor verde, altura de 2,30 m com perfis metálicos (40x60)mm chumbados em viga baldrame, com cantoneira de detalhamento conforme projeto, painéis de largura 2,50 m, malha retangular (5x20)cm, instalada. Incluso cápsula de aço galvanizado para acabamento na extremidade superior do tubo de aço. Exclusive viga. Conforme memorial descritivo. As barras verticais e travessas de fixação horizontais unidas através de soldagem. Cerca com revestimento de pintura eletrostática.</t>
  </si>
  <si>
    <t>Portão de abrir de gradil 01 folha (1,20x2,30)m em tela malha (5x20)cm e detalhes conforme imagem do memorial descritivo. Incluso acessórios e ferramentas de instalação. Portão de mesmo padrão da cerca gradil. Todas as peças em Aço 100% Galvanizado e com revestimento de pintura eletrostática.  Montantes chumbados na viga baldrame da cerca.</t>
  </si>
  <si>
    <t>Composição 01</t>
  </si>
  <si>
    <t>chp</t>
  </si>
  <si>
    <t>IPPUJ C35.05.15.10.010</t>
  </si>
  <si>
    <t>IPPUJ C35.05.15.06.006</t>
  </si>
  <si>
    <t xml:space="preserve">MATERIAL </t>
  </si>
  <si>
    <t>kg</t>
  </si>
  <si>
    <t>IPPUJ C10.28.15.10.059</t>
  </si>
  <si>
    <t>SINAPI 92792</t>
  </si>
  <si>
    <t>SINAPI 92794</t>
  </si>
  <si>
    <t>Armadura de Aço CA-50 Ø6,3mm, incluso corte e dobra in loco - viga e bloco de coroamento da cerca - ver projeto estrutural da cerca.</t>
  </si>
  <si>
    <t>Armadura de Aço CA-50 Ø10,0mm, incluso corte e dobra in loco - viga e bloco de coroamento da cerca - ver projeto estrutural da cerca.</t>
  </si>
  <si>
    <t>Memorial de cálculo estrutural cerca</t>
  </si>
  <si>
    <t>Bloco de coroamento</t>
  </si>
  <si>
    <t>Ø</t>
  </si>
  <si>
    <t>Quantidade</t>
  </si>
  <si>
    <t>Estrutura</t>
  </si>
  <si>
    <t>kg/m</t>
  </si>
  <si>
    <t>Comprimento linear</t>
  </si>
  <si>
    <t>Peso total</t>
  </si>
  <si>
    <t>Viga baldrame H = 50cm</t>
  </si>
  <si>
    <t>Viga baldrame H = 100cm</t>
  </si>
  <si>
    <t>local</t>
  </si>
  <si>
    <t>Estribo</t>
  </si>
  <si>
    <t>Comprimento total  (m)</t>
  </si>
  <si>
    <t>Arm. Pele</t>
  </si>
  <si>
    <t>Arm. Long.</t>
  </si>
  <si>
    <t xml:space="preserve">Total </t>
  </si>
  <si>
    <t xml:space="preserve">Ø6,3mm </t>
  </si>
  <si>
    <t xml:space="preserve">Ø10,0mm </t>
  </si>
  <si>
    <t>Viga baldrame 50cm</t>
  </si>
  <si>
    <t>viga baldrame 100cm</t>
  </si>
  <si>
    <t>Largura (m)</t>
  </si>
  <si>
    <t>Altura (m)</t>
  </si>
  <si>
    <t>Total (m³)</t>
  </si>
  <si>
    <t>Comprimento (m)</t>
  </si>
  <si>
    <t xml:space="preserve">Concreto 25MPa usinado </t>
  </si>
  <si>
    <t xml:space="preserve">Aço CA-50 </t>
  </si>
  <si>
    <t xml:space="preserve">FUNDAÇÃO </t>
  </si>
  <si>
    <t>IPPUJ I05.75.05.05.030</t>
  </si>
  <si>
    <t>Tábua em madeira grápia largura 15cm e espessura 2,5cm conforme projeto.</t>
  </si>
  <si>
    <t>IPPUJ I10.80.20.01.642</t>
  </si>
  <si>
    <t>Parafuso sextavado sob. ZB 1/4" x 65mm.</t>
  </si>
  <si>
    <t>Brita 1</t>
  </si>
  <si>
    <t>IPPUJ I05.15.05.10.015</t>
  </si>
  <si>
    <t>IPPUJ I05.20.05.10.009</t>
  </si>
  <si>
    <t>Argamassa pré-fabricada de cimento colante AC-III com aditivo impermeabilizante para assentamento das tábuas de madeira grápia do banco, para utilização entre os pavers e para revestimento interno do banco.</t>
  </si>
  <si>
    <t>Banco com base em paver e assento de madeira grápia</t>
  </si>
  <si>
    <t>IPPUJ I05.05.10.15.020</t>
  </si>
  <si>
    <t>Tela de aço soldada lisa, malha 150x50mm, bitola 3,00mm</t>
  </si>
  <si>
    <t>Banco com base em paver, assento em tábuas de madeira grápia seca com largura 15cm e espessura 2,5cm parafusadas na argamassa pré-fabricada de cimento colante AC-III com aditivo impermeabilizante com parafusos sextavados sob. ZB 1/4" x 65mm. Dentro do banco terá aterro com macadame comum saibro de rocha granítica e em cima camada de 15cm de brita 1. Incluso mão de obra e ferramentas e excluso aterro. Excluso também o paver, pois o mesmo será utilizado do reaproveitamento do paver existente na entrada a ser removido - conforme projeto. Tela de aço soldada com malha de (150x50)mm em torno do banco para fechamento do paver. Ver imagem no memorial descritivo e projeto. Base de brita em baixo do banco.</t>
  </si>
  <si>
    <t>2.1</t>
  </si>
  <si>
    <t>IPPUJ C10.08.05.10.020</t>
  </si>
  <si>
    <t>Poste de iluminação solar fotovoltaico com lâmpadas de LED 30W e 3900 lumens com 5 metros de altura, poste metálico e caixa de proteção da bateria zincada a fogo. Autonomia: 3 dias sem sol. Posição dos postes conforme projeto luminotécnico.</t>
  </si>
  <si>
    <t>SINAPI  85180</t>
  </si>
  <si>
    <t>IPPUJ C10.88.15.05.205</t>
  </si>
  <si>
    <t>ELÉTRICA</t>
  </si>
  <si>
    <t>7.</t>
  </si>
  <si>
    <t>7.1</t>
  </si>
  <si>
    <t>7.2</t>
  </si>
  <si>
    <t>7.3</t>
  </si>
  <si>
    <t>7.4</t>
  </si>
  <si>
    <t>7.5</t>
  </si>
  <si>
    <t>7.6</t>
  </si>
  <si>
    <t>7.7</t>
  </si>
  <si>
    <t>7.8</t>
  </si>
  <si>
    <t>IPPUJ I21.05.20.10.0007</t>
  </si>
  <si>
    <t>IPPUJ C10.76.50.20.006</t>
  </si>
  <si>
    <t>Total do item 6.</t>
  </si>
  <si>
    <t>Total do item 7.</t>
  </si>
  <si>
    <t>Aluguel de container para escritório (220x620x250)cm com 1 banheiro.</t>
  </si>
  <si>
    <t>Poste de energia elétrica circular 100kg, h = 7m de transição com roldanas.</t>
  </si>
  <si>
    <t>Cabo isolado em pvc seção 16,0mm² para entrada de energia elétrica - transição. Obs.: Inclusive o terra deverá ser encapado.</t>
  </si>
  <si>
    <t>Fôrma para estrutura de concreto armado</t>
  </si>
  <si>
    <t xml:space="preserve">Área </t>
  </si>
  <si>
    <t>Portão de correr de gradil 01 folha (4,60x2,30)m em tela malha (5x20)cm e detalhes conforme imagem do memorial descritivo. Incluso acessórios e ferramentas de instalação. Portão de mesmo padrão da cerca gradil. Todas as peças em Aço 100% Galvanizado e com revestimento de pintura eletrostática. Montantes chumbados na viga baldrame da cerca.</t>
  </si>
  <si>
    <t>IPPUJ C10.88.15.05.115</t>
  </si>
  <si>
    <t>4.3</t>
  </si>
  <si>
    <t>4.4</t>
  </si>
  <si>
    <t>4.5</t>
  </si>
  <si>
    <t>4.6</t>
  </si>
  <si>
    <t>4.8</t>
  </si>
  <si>
    <t>4.9</t>
  </si>
  <si>
    <t>4.10</t>
  </si>
  <si>
    <t>6.5</t>
  </si>
  <si>
    <t>6.6</t>
  </si>
  <si>
    <t>6.7</t>
  </si>
  <si>
    <t>6.8</t>
  </si>
  <si>
    <t>6.9</t>
  </si>
  <si>
    <t>6.10</t>
  </si>
  <si>
    <t>6.11</t>
  </si>
  <si>
    <t>6.12</t>
  </si>
  <si>
    <t>6.13</t>
  </si>
  <si>
    <t>6.14</t>
  </si>
  <si>
    <t>6.15</t>
  </si>
  <si>
    <t>IPPUJ C35.10.15.05.001</t>
  </si>
  <si>
    <t>Meio-fio de concreto armado moldado in loco, largura 20cm e altura 15cm. Incluso escavação e aterro apiloado.</t>
  </si>
  <si>
    <t>IPPUJ I10.75.05.13.010</t>
  </si>
  <si>
    <t>Aterro mecanicado com espalhamento, regularização e compactação</t>
  </si>
  <si>
    <t>Rolo compactador liso, tandem vibrat. autopop. 7,2 t (Pot.:57kw/ diesel)</t>
  </si>
  <si>
    <t>IPPUJ I30.05.05.15.325</t>
  </si>
  <si>
    <t>Retroescavadeira (Pot.:51 kW / diesel)</t>
  </si>
  <si>
    <t>IPPUJ I30.05.05.15.285</t>
  </si>
  <si>
    <t>Motoniveladora 125 HP, 13ton, largura da lâmina 3,7 m -
CHP Diurno</t>
  </si>
  <si>
    <t>IPPUJ I30.05.05.15.305</t>
  </si>
  <si>
    <t>Pregão 26/2018</t>
  </si>
  <si>
    <t>Aterro com macadame comum saibro de rocha granítica</t>
  </si>
  <si>
    <t>Compactador de percução (sapo) à gasolina</t>
  </si>
  <si>
    <t>h</t>
  </si>
  <si>
    <t>Comp. 01</t>
  </si>
  <si>
    <t>Comp. 02</t>
  </si>
  <si>
    <t>Boca de lobo (1,10x1,10)m - interno - com grelha em concreto para drenagem pluvial em alvenaria de tijolos de concreto furados (10x20x5)cm para tubulação de Ø300mm e Ø400mm.Ver detalhes no projeto de drenagem e especificações no memorial descritivo.</t>
  </si>
  <si>
    <t>Total do item 4.</t>
  </si>
  <si>
    <t>SINAPI 91533</t>
  </si>
  <si>
    <t>6.16</t>
  </si>
  <si>
    <t>DEINFRA 42872</t>
  </si>
  <si>
    <t>7.9</t>
  </si>
  <si>
    <t>7.10</t>
  </si>
  <si>
    <t>SINAPI 73883/002</t>
  </si>
  <si>
    <t>Execução de sistema espinha de peixe para drenagem do campo de futebol de areia com tubo dreno PEAD Ø110mm corrugado e perfurado flexível, brita nº 01 e manta geotêxtil (bidim) com transpasse de 20 a 30cm. Incluso escavação, manta, tubulação, brita 1, ligação no sistema existente. Vala com dimensões de (40x50)cm.</t>
  </si>
  <si>
    <t>Tubo de concreto armado classe PA-2 PB NBR-8890/2007 DN 300mm para águas pluviais. Incluso tábuas para assentamento dos tubos e o assentamento.</t>
  </si>
  <si>
    <t>Tubo de PVC para drenagem de água pluvial, série R - Ø150mm, com todas as conexões e ferramentas necessárias para completa instalação. Incluso assentamento da tubulação.</t>
  </si>
  <si>
    <t>Tubo de PVC para drenagem de água pluvial, série R - Ø75mm, com todas as conexões necessárias para completa instalação. Incluso assentamento da tubulação.</t>
  </si>
  <si>
    <t>Caixa de passagem (60x60)cm - interno - altura variável, sem grelha para drenagem pluvial em alvenaria de tijolos de concreto furados (10x20x5)cm. Ver detalhes no projeto de drenagem. Incluso tábuas para assentamento dos tubos e o assentamento.</t>
  </si>
  <si>
    <t>LIMPEZA FINAL DA OBRA</t>
  </si>
  <si>
    <t>8.</t>
  </si>
  <si>
    <t>8.1</t>
  </si>
  <si>
    <t>SINAPI 9537</t>
  </si>
  <si>
    <t>x</t>
  </si>
  <si>
    <t xml:space="preserve">x = </t>
  </si>
  <si>
    <t>Limpeza final da obra.</t>
  </si>
  <si>
    <t xml:space="preserve">Mercado </t>
  </si>
  <si>
    <t>Execução de fôrma em tábua de pinus para fundação - reaproveitamento 5x - para estruturas de concreto armado (vigas e blocos de coroamento) da cerca, espessura 18mm. Incluso fabricação, Montagem, escoramento, travamento, pontaletes, sarrafos, tábuas, gravatas e todos os complementos necessários.Na base da estrutura utilizar lastro de brita 5cm, já contabilizado no item 7.8.</t>
  </si>
  <si>
    <t>Piso podotátil alerta em pvc (25x25)cm - para sobreposição em piso cerâmico, incluso material para colagem e mão de obra.</t>
  </si>
  <si>
    <t>Elevação das caixas de passagem/inspeção e do tanque séptico/filtro anaeróbio no nível do aterro.</t>
  </si>
  <si>
    <t xml:space="preserve">          PREFEITURA MUNICIPAL DE GASPAR</t>
  </si>
  <si>
    <t xml:space="preserve">          Secretaria Municipal de Educação - SEMED</t>
  </si>
  <si>
    <t xml:space="preserve">             </t>
  </si>
  <si>
    <t>CRONOGRAMA FÍSICO  -  FINANCEIRO</t>
  </si>
  <si>
    <t xml:space="preserve">DESCRIMINAÇÃO </t>
  </si>
  <si>
    <t xml:space="preserve">VALOR </t>
  </si>
  <si>
    <t>PESO</t>
  </si>
  <si>
    <t xml:space="preserve">      CRONOGRAMA DE EXECUÇÃO</t>
  </si>
  <si>
    <t xml:space="preserve">MÊS 01 </t>
  </si>
  <si>
    <t xml:space="preserve">MÊS 02 </t>
  </si>
  <si>
    <t>MÊS 03</t>
  </si>
  <si>
    <t>9.</t>
  </si>
  <si>
    <t>VALOR PARCIAL</t>
  </si>
  <si>
    <t>VALOR ACUMULADO</t>
  </si>
  <si>
    <t xml:space="preserve"> Obs: Valores em Reais.</t>
  </si>
  <si>
    <t>Gaspar, 21 de setembro de 2018.</t>
  </si>
  <si>
    <t>AS BUILT</t>
  </si>
  <si>
    <t>9.1</t>
  </si>
  <si>
    <t>Total do item 8.</t>
  </si>
  <si>
    <t>Total do item 9.</t>
  </si>
  <si>
    <t>DEINFRA 42587</t>
  </si>
  <si>
    <t>Escavação mecânica de valas até 1m para drenagem de águas pluviais.</t>
  </si>
  <si>
    <t>Escavação mecânica de cavas e valas de 1,00 até 4,50 metros.</t>
  </si>
  <si>
    <t>DEINFRA 43218</t>
  </si>
  <si>
    <t>Serviços preliminares</t>
  </si>
  <si>
    <t>Terraplenagem</t>
  </si>
  <si>
    <t>Elétrica</t>
  </si>
  <si>
    <t>Cerca</t>
  </si>
  <si>
    <t>Acessibilidade</t>
  </si>
  <si>
    <t>Urbanismo</t>
  </si>
  <si>
    <t>Drenagem (3 meses)</t>
  </si>
  <si>
    <t>Limpeza final da obra</t>
  </si>
  <si>
    <t>As built</t>
  </si>
  <si>
    <t>MÊS 04</t>
  </si>
  <si>
    <t>MÊS 05</t>
  </si>
  <si>
    <t>-</t>
  </si>
  <si>
    <t>Projeto "As built" (drenagem e implantação).</t>
  </si>
  <si>
    <t xml:space="preserve"> Prazo de Execução: 150 dias</t>
  </si>
  <si>
    <t>Obra : Urbanismo e drenagem da E.E.F. Olímpio Moretto</t>
  </si>
  <si>
    <t>Local: R. Pref. Leopoldo Schramm, S/N.</t>
  </si>
  <si>
    <t>Bairro: Gaspar Grande - Gaspar - SC</t>
  </si>
  <si>
    <t>IPPUJ C20.05.10.05.015</t>
  </si>
  <si>
    <t>IPPUJ C35.12.05.05.010</t>
  </si>
  <si>
    <t>Execução de passeio c/ fornecimento de paver colorido esp.: 6 cm, sobre base de brita e lastro de areia, incl. preparação de cx.</t>
  </si>
  <si>
    <t>6.17</t>
  </si>
  <si>
    <t>6.18</t>
  </si>
  <si>
    <t>Remoção manual de pavimentação em blocos de concreto premoldados com reaproveitamento incluso instalação em local determinado conforme projeto.</t>
  </si>
  <si>
    <t>Aterro mecanizado com profundidade de até 3,0 m, com macadame comum saibro de rocha granítica. Incluso raspagem superficial do terreno, espalhamento, regularização e compactação do aterro com o uso de máquinas específicas para tal, descritas a seguir: Retro-escavadeira Pot.:51 kW à diesel, Moto-nivelador 125 HP, 13ton, largura da lâmina 3,7 m, Rolo compactador liso com tandem vibrat. autopop. 7,2 t Pot.:57kw à diesel (para áreas mais distantes da edificação), Compactador de percução (sapo) à gasolina (para a área do entorno da edificação). Contabilizado aterro para o banco de paver. Considerado empolamento de solo de 15%, já contabilizados no quantitativo.</t>
  </si>
  <si>
    <t>Concreto usinado bombeado, fck=25MPa, inclusive lançamento e adensamento. Incluso teste de resistência à compressão de  4 corpos de prova por cada caminhão de concreto. Utilização na viga baldrame e blocos de coroamento.</t>
  </si>
  <si>
    <t>Locação da estaca (incluso limpeza superficial da área).</t>
  </si>
  <si>
    <t>SINAPI 95601</t>
  </si>
  <si>
    <t>Arrasamento de estacas pré-moldadas, com corte e preparo de cabeça das estacas. As cabeças das estacas devem ficar niveladas, planas e com armadura de arranque suficiente para ancoragem no bloco.</t>
  </si>
  <si>
    <t>SINAPI 95577</t>
  </si>
  <si>
    <t>Mobilização e desmobilização de equipamentos para execução de estaca hélice contínua (inclusive transporte do equipamento e transporte e montagem das peças).</t>
  </si>
  <si>
    <t>4.7</t>
  </si>
  <si>
    <t>SINAPI 90809</t>
  </si>
  <si>
    <t>Estaca hélice contínua monitorada Ø300mm comprimento total de 6 metros das estacas, perfuratriz com torque de 170 KN.m (excluso mobilização e desmobilização).</t>
  </si>
  <si>
    <t>Montagem de armadura longitudinal de estacas de seção circular, diâmetro = 10mm - incluso aço CA-50 Ø6,3mm à Ø10mm, corte e dobra.</t>
  </si>
  <si>
    <t>Areia média lavada espessura 10cm (para campo esportivo a ser implantado).</t>
  </si>
  <si>
    <t>Plantio de onze horas coloridas - 25mudas/m² com terra adubada.</t>
  </si>
  <si>
    <t>Plantio de arbusto azáleia rosa com altura de no mínimo 70cm com terra adubada.</t>
  </si>
  <si>
    <t>Plantio de moréia, planta com altura de 30cm com terra adubada.</t>
  </si>
  <si>
    <t>Rede de nylon para proteção da quadra de areia existente com estrutura - incluso remoção da rede antiga.</t>
  </si>
  <si>
    <t>Plantio de grama esmeralda em rolo com terra adubada.</t>
  </si>
  <si>
    <t>Lastro de brita 1 (para área da academia pública, estacionamento, dentro do banco com base em paver e lastro das fôrmas para estruturas de concreto armado da cerca). 3m de espessura no lastro das fôrmas, 15cm para área da academia pública e estacionamento) e no restante 5cm de espessura.</t>
  </si>
</sst>
</file>

<file path=xl/styles.xml><?xml version="1.0" encoding="utf-8"?>
<styleSheet xmlns="http://schemas.openxmlformats.org/spreadsheetml/2006/main">
  <numFmts count="6">
    <numFmt numFmtId="44" formatCode="_-&quot;R$&quot;* #,##0.00_-;\-&quot;R$&quot;* #,##0.00_-;_-&quot;R$&quot;* &quot;-&quot;??_-;_-@_-"/>
    <numFmt numFmtId="43" formatCode="_-* #,##0.00_-;\-* #,##0.00_-;_-* &quot;-&quot;??_-;_-@_-"/>
    <numFmt numFmtId="164" formatCode="#,##0.00\ ;\-#,##0.00\ ;&quot; -&quot;#\ ;@\ "/>
    <numFmt numFmtId="165" formatCode="_(* #,##0.00_);_(* \(#,##0.00\);_(* &quot;-&quot;??_);_(@_)"/>
    <numFmt numFmtId="166" formatCode="[$-F400]h:mm:ss\ AM/PM"/>
    <numFmt numFmtId="167" formatCode="#,##0.00_ ;\-#,##0.00\ "/>
  </numFmts>
  <fonts count="37">
    <font>
      <sz val="11"/>
      <color theme="1"/>
      <name val="Calibri"/>
      <family val="2"/>
      <scheme val="minor"/>
    </font>
    <font>
      <sz val="11"/>
      <color theme="1"/>
      <name val="Calibri"/>
      <family val="2"/>
      <scheme val="minor"/>
    </font>
    <font>
      <sz val="11"/>
      <color rgb="FF006100"/>
      <name val="Calibri"/>
      <family val="2"/>
      <scheme val="minor"/>
    </font>
    <font>
      <b/>
      <sz val="14"/>
      <name val="Arial"/>
      <family val="2"/>
    </font>
    <font>
      <b/>
      <sz val="12"/>
      <name val="Arial"/>
      <family val="2"/>
    </font>
    <font>
      <b/>
      <sz val="11"/>
      <name val="Arial"/>
      <family val="2"/>
    </font>
    <font>
      <sz val="11"/>
      <color indexed="8"/>
      <name val="Calibri"/>
      <family val="2"/>
    </font>
    <font>
      <sz val="11"/>
      <color rgb="FFFF0000"/>
      <name val="Arial"/>
      <family val="2"/>
    </font>
    <font>
      <b/>
      <sz val="9"/>
      <name val="Arial"/>
      <family val="2"/>
    </font>
    <font>
      <sz val="10"/>
      <name val="Arial"/>
      <family val="2"/>
    </font>
    <font>
      <b/>
      <sz val="8"/>
      <name val="Arial"/>
      <family val="2"/>
    </font>
    <font>
      <b/>
      <sz val="10"/>
      <name val="Arial"/>
      <family val="2"/>
    </font>
    <font>
      <sz val="10"/>
      <color indexed="8"/>
      <name val="Arial"/>
      <family val="2"/>
    </font>
    <font>
      <sz val="11"/>
      <color indexed="8"/>
      <name val="Arial"/>
      <family val="2"/>
    </font>
    <font>
      <sz val="10"/>
      <color rgb="FFFF0000"/>
      <name val="Arial"/>
      <family val="2"/>
    </font>
    <font>
      <b/>
      <sz val="10"/>
      <color rgb="FFFF0000"/>
      <name val="Arial"/>
      <family val="2"/>
    </font>
    <font>
      <sz val="9"/>
      <color indexed="81"/>
      <name val="Tahoma"/>
      <family val="2"/>
    </font>
    <font>
      <b/>
      <sz val="9"/>
      <color indexed="81"/>
      <name val="Tahoma"/>
      <family val="2"/>
    </font>
    <font>
      <sz val="10"/>
      <color theme="1"/>
      <name val="Arial"/>
      <family val="2"/>
    </font>
    <font>
      <b/>
      <sz val="10"/>
      <color theme="1"/>
      <name val="Arial"/>
      <family val="2"/>
    </font>
    <font>
      <sz val="8"/>
      <color indexed="81"/>
      <name val="Tahoma"/>
      <family val="2"/>
    </font>
    <font>
      <b/>
      <sz val="8"/>
      <color indexed="81"/>
      <name val="Tahoma"/>
      <family val="2"/>
    </font>
    <font>
      <b/>
      <sz val="11"/>
      <color theme="1"/>
      <name val="Calibri"/>
      <family val="2"/>
      <scheme val="minor"/>
    </font>
    <font>
      <b/>
      <sz val="12"/>
      <color rgb="FF222222"/>
      <name val="Times New Roman"/>
      <family val="1"/>
    </font>
    <font>
      <sz val="11"/>
      <name val="Calibri"/>
      <family val="2"/>
      <scheme val="minor"/>
    </font>
    <font>
      <sz val="12"/>
      <name val="Arial"/>
      <family val="2"/>
    </font>
    <font>
      <sz val="12"/>
      <name val="Univers Condensed"/>
      <family val="2"/>
    </font>
    <font>
      <sz val="10"/>
      <name val="Univers Condensed"/>
      <family val="2"/>
    </font>
    <font>
      <b/>
      <sz val="12"/>
      <name val="Arial Narrow"/>
      <family val="2"/>
    </font>
    <font>
      <b/>
      <sz val="11"/>
      <name val="Univers Condensed"/>
      <family val="2"/>
    </font>
    <font>
      <i/>
      <sz val="11"/>
      <name val="Arial"/>
      <family val="2"/>
    </font>
    <font>
      <sz val="11"/>
      <name val="Arial"/>
      <family val="2"/>
    </font>
    <font>
      <i/>
      <sz val="10"/>
      <name val="Univers Condensed"/>
      <family val="2"/>
    </font>
    <font>
      <sz val="10"/>
      <name val="Univers Condensed"/>
    </font>
    <font>
      <b/>
      <sz val="10"/>
      <name val="Univers Condensed"/>
      <family val="2"/>
    </font>
    <font>
      <sz val="9"/>
      <color indexed="81"/>
      <name val="Tahoma"/>
      <charset val="1"/>
    </font>
    <font>
      <b/>
      <sz val="9"/>
      <color indexed="81"/>
      <name val="Tahoma"/>
      <charset val="1"/>
    </font>
  </fonts>
  <fills count="18">
    <fill>
      <patternFill patternType="none"/>
    </fill>
    <fill>
      <patternFill patternType="gray125"/>
    </fill>
    <fill>
      <patternFill patternType="solid">
        <fgColor rgb="FFC6EFCE"/>
      </patternFill>
    </fill>
    <fill>
      <patternFill patternType="solid">
        <fgColor theme="3" tint="0.59999389629810485"/>
        <bgColor indexed="31"/>
      </patternFill>
    </fill>
    <fill>
      <patternFill patternType="solid">
        <fgColor theme="3" tint="0.59999389629810485"/>
        <bgColor indexed="64"/>
      </patternFill>
    </fill>
    <fill>
      <patternFill patternType="solid">
        <fgColor theme="3" tint="0.59999389629810485"/>
        <bgColor indexed="41"/>
      </patternFill>
    </fill>
    <fill>
      <patternFill patternType="solid">
        <fgColor theme="0"/>
        <bgColor indexed="64"/>
      </patternFill>
    </fill>
    <fill>
      <patternFill patternType="solid">
        <fgColor theme="3" tint="0.59999389629810485"/>
        <bgColor indexed="26"/>
      </patternFill>
    </fill>
    <fill>
      <patternFill patternType="solid">
        <fgColor theme="3" tint="0.79998168889431442"/>
        <bgColor indexed="64"/>
      </patternFill>
    </fill>
    <fill>
      <patternFill patternType="solid">
        <fgColor theme="3" tint="0.79998168889431442"/>
        <bgColor indexed="41"/>
      </patternFill>
    </fill>
    <fill>
      <patternFill patternType="solid">
        <fgColor theme="4" tint="0.79998168889431442"/>
        <bgColor indexed="41"/>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FF"/>
        <bgColor indexed="64"/>
      </patternFill>
    </fill>
    <fill>
      <patternFill patternType="solid">
        <fgColor theme="0" tint="-0.14999847407452621"/>
        <bgColor indexed="64"/>
      </patternFill>
    </fill>
    <fill>
      <patternFill patternType="solid">
        <fgColor indexed="22"/>
        <bgColor indexed="64"/>
      </patternFill>
    </fill>
    <fill>
      <patternFill patternType="solid">
        <fgColor indexed="9"/>
        <bgColor indexed="64"/>
      </patternFill>
    </fill>
  </fills>
  <borders count="52">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medium">
        <color indexed="64"/>
      </top>
      <bottom/>
      <diagonal/>
    </border>
    <border>
      <left style="thin">
        <color indexed="8"/>
      </left>
      <right style="thin">
        <color indexed="8"/>
      </right>
      <top style="thin">
        <color indexed="8"/>
      </top>
      <bottom/>
      <diagonal/>
    </border>
    <border>
      <left style="thin">
        <color indexed="8"/>
      </left>
      <right style="thin">
        <color indexed="8"/>
      </right>
      <top style="thin">
        <color indexed="64"/>
      </top>
      <bottom/>
      <diagonal/>
    </border>
    <border>
      <left style="thin">
        <color indexed="64"/>
      </left>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64"/>
      </left>
      <right style="thin">
        <color indexed="8"/>
      </right>
      <top style="thin">
        <color indexed="64"/>
      </top>
      <bottom/>
      <diagonal/>
    </border>
    <border>
      <left style="thin">
        <color indexed="8"/>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2">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6" fillId="0" borderId="0"/>
    <xf numFmtId="0" fontId="6" fillId="0" borderId="0"/>
    <xf numFmtId="0" fontId="6" fillId="0" borderId="0"/>
    <xf numFmtId="164" fontId="6" fillId="0" borderId="0"/>
    <xf numFmtId="0" fontId="9" fillId="0" borderId="0"/>
    <xf numFmtId="166" fontId="9" fillId="0" borderId="0" applyFont="0" applyFill="0" applyBorder="0" applyAlignment="0" applyProtection="0"/>
    <xf numFmtId="9" fontId="9" fillId="0" borderId="0" applyFont="0" applyFill="0" applyBorder="0" applyAlignment="0" applyProtection="0"/>
    <xf numFmtId="44" fontId="1" fillId="0" borderId="0" applyFont="0" applyFill="0" applyBorder="0" applyAlignment="0" applyProtection="0"/>
  </cellStyleXfs>
  <cellXfs count="371">
    <xf numFmtId="0" fontId="0" fillId="0" borderId="0" xfId="0"/>
    <xf numFmtId="0" fontId="0" fillId="0" borderId="0" xfId="0" applyFont="1" applyBorder="1" applyAlignment="1">
      <alignment wrapText="1"/>
    </xf>
    <xf numFmtId="0" fontId="0" fillId="0" borderId="0" xfId="0" applyFont="1" applyBorder="1"/>
    <xf numFmtId="165" fontId="7" fillId="0" borderId="0" xfId="1" applyNumberFormat="1" applyFont="1" applyBorder="1"/>
    <xf numFmtId="0" fontId="8" fillId="0" borderId="0" xfId="0" applyFont="1" applyBorder="1"/>
    <xf numFmtId="165" fontId="8" fillId="0" borderId="0" xfId="1" applyNumberFormat="1" applyFont="1" applyBorder="1"/>
    <xf numFmtId="0" fontId="8" fillId="0" borderId="0" xfId="0" applyFont="1" applyBorder="1" applyAlignment="1">
      <alignment horizontal="center"/>
    </xf>
    <xf numFmtId="10" fontId="9" fillId="0" borderId="0" xfId="2" applyNumberFormat="1" applyFont="1" applyBorder="1" applyAlignment="1">
      <alignment horizontal="center"/>
    </xf>
    <xf numFmtId="0" fontId="4" fillId="0" borderId="0" xfId="0" applyFont="1" applyFill="1" applyBorder="1" applyAlignment="1">
      <alignment vertical="center"/>
    </xf>
    <xf numFmtId="0" fontId="5" fillId="0" borderId="0" xfId="0" applyFont="1" applyBorder="1" applyAlignment="1">
      <alignment vertical="center" wrapText="1"/>
    </xf>
    <xf numFmtId="0" fontId="0" fillId="0" borderId="0" xfId="0" applyFill="1" applyBorder="1"/>
    <xf numFmtId="0" fontId="0" fillId="0" borderId="0" xfId="0" applyBorder="1"/>
    <xf numFmtId="0" fontId="0" fillId="0" borderId="0" xfId="0" applyBorder="1" applyAlignment="1">
      <alignment horizontal="center" vertical="center"/>
    </xf>
    <xf numFmtId="0" fontId="0" fillId="0" borderId="14" xfId="0" applyFill="1" applyBorder="1"/>
    <xf numFmtId="0" fontId="0" fillId="0" borderId="0" xfId="0" applyFill="1"/>
    <xf numFmtId="0" fontId="11" fillId="3" borderId="17" xfId="4" applyFont="1" applyFill="1" applyBorder="1" applyAlignment="1">
      <alignment horizontal="center" vertical="center" wrapText="1"/>
    </xf>
    <xf numFmtId="4" fontId="11" fillId="3" borderId="17" xfId="4" applyNumberFormat="1"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5" borderId="18" xfId="4" applyFont="1" applyFill="1" applyBorder="1" applyAlignment="1">
      <alignment horizontal="center" vertical="center" wrapText="1"/>
    </xf>
    <xf numFmtId="0" fontId="11" fillId="5" borderId="18" xfId="4" applyFont="1" applyFill="1" applyBorder="1" applyAlignment="1">
      <alignment vertical="center" wrapText="1"/>
    </xf>
    <xf numFmtId="3" fontId="9" fillId="6" borderId="3" xfId="4" applyNumberFormat="1" applyFont="1" applyFill="1" applyBorder="1" applyAlignment="1">
      <alignment horizontal="left" vertical="center" wrapText="1"/>
    </xf>
    <xf numFmtId="4" fontId="9" fillId="6" borderId="3" xfId="4" applyNumberFormat="1" applyFont="1" applyFill="1" applyBorder="1" applyAlignment="1">
      <alignment horizontal="right" vertical="center" wrapText="1"/>
    </xf>
    <xf numFmtId="4" fontId="9" fillId="0" borderId="3" xfId="4" applyNumberFormat="1" applyFont="1" applyFill="1" applyBorder="1" applyAlignment="1">
      <alignment horizontal="right" vertical="center" wrapText="1"/>
    </xf>
    <xf numFmtId="0" fontId="0" fillId="0" borderId="0" xfId="0"/>
    <xf numFmtId="0" fontId="0" fillId="0" borderId="0" xfId="0" applyBorder="1" applyAlignment="1">
      <alignment horizontal="center" vertical="center"/>
    </xf>
    <xf numFmtId="0" fontId="0" fillId="0" borderId="0" xfId="0"/>
    <xf numFmtId="0" fontId="0" fillId="0" borderId="0" xfId="0" applyAlignment="1">
      <alignment horizontal="center"/>
    </xf>
    <xf numFmtId="0" fontId="0" fillId="0" borderId="0" xfId="0" applyAlignment="1">
      <alignment horizontal="left" wrapText="1"/>
    </xf>
    <xf numFmtId="2" fontId="0" fillId="0" borderId="2" xfId="0" applyNumberFormat="1" applyBorder="1" applyAlignment="1">
      <alignment horizontal="center" vertical="center"/>
    </xf>
    <xf numFmtId="0" fontId="0" fillId="0" borderId="0" xfId="0" applyAlignment="1">
      <alignment horizontal="center" vertical="center"/>
    </xf>
    <xf numFmtId="0" fontId="0" fillId="0" borderId="0" xfId="0"/>
    <xf numFmtId="4" fontId="0" fillId="0" borderId="0" xfId="0" applyNumberFormat="1" applyAlignment="1">
      <alignment horizontal="center" vertical="center"/>
    </xf>
    <xf numFmtId="3" fontId="9" fillId="6" borderId="20" xfId="4" applyNumberFormat="1" applyFont="1" applyFill="1" applyBorder="1" applyAlignment="1">
      <alignment horizontal="left" vertical="center" wrapText="1"/>
    </xf>
    <xf numFmtId="4" fontId="9" fillId="6" borderId="20" xfId="4" applyNumberFormat="1" applyFont="1" applyFill="1" applyBorder="1" applyAlignment="1">
      <alignment horizontal="right" vertical="center" wrapText="1"/>
    </xf>
    <xf numFmtId="3" fontId="9" fillId="6" borderId="21" xfId="4" applyNumberFormat="1" applyFont="1" applyFill="1" applyBorder="1" applyAlignment="1">
      <alignment horizontal="left" vertical="center" wrapText="1"/>
    </xf>
    <xf numFmtId="0" fontId="9" fillId="6" borderId="21" xfId="4" applyFont="1" applyFill="1" applyBorder="1" applyAlignment="1">
      <alignment horizontal="center" vertical="center" wrapText="1"/>
    </xf>
    <xf numFmtId="4" fontId="9" fillId="6" borderId="21" xfId="4" applyNumberFormat="1" applyFont="1" applyFill="1" applyBorder="1" applyAlignment="1">
      <alignment horizontal="right" vertical="center" wrapText="1"/>
    </xf>
    <xf numFmtId="0" fontId="5" fillId="0" borderId="0" xfId="0" applyFont="1" applyBorder="1" applyAlignment="1">
      <alignment horizontal="left" vertical="center" wrapText="1"/>
    </xf>
    <xf numFmtId="4" fontId="9" fillId="0" borderId="21" xfId="4" applyNumberFormat="1" applyFont="1" applyFill="1" applyBorder="1" applyAlignment="1">
      <alignment horizontal="right" vertical="center" wrapText="1"/>
    </xf>
    <xf numFmtId="4" fontId="9" fillId="0" borderId="20" xfId="4" applyNumberFormat="1" applyFont="1" applyFill="1" applyBorder="1" applyAlignment="1">
      <alignment horizontal="right" vertical="center" wrapText="1"/>
    </xf>
    <xf numFmtId="0" fontId="4" fillId="0" borderId="0" xfId="0" applyFont="1" applyFill="1" applyBorder="1" applyAlignment="1">
      <alignment horizontal="left" vertical="center"/>
    </xf>
    <xf numFmtId="0" fontId="0" fillId="0" borderId="0" xfId="0"/>
    <xf numFmtId="0" fontId="0" fillId="0" borderId="0" xfId="0"/>
    <xf numFmtId="4" fontId="11" fillId="7" borderId="22" xfId="4" applyNumberFormat="1" applyFont="1" applyFill="1" applyBorder="1" applyAlignment="1">
      <alignment horizontal="right" vertical="center"/>
    </xf>
    <xf numFmtId="0" fontId="12" fillId="0" borderId="0" xfId="4" applyFont="1" applyBorder="1" applyAlignment="1">
      <alignment vertical="center"/>
    </xf>
    <xf numFmtId="0" fontId="12" fillId="0" borderId="1" xfId="4" applyFont="1" applyBorder="1" applyAlignment="1">
      <alignment vertical="center"/>
    </xf>
    <xf numFmtId="4" fontId="14" fillId="0" borderId="0" xfId="4" applyNumberFormat="1" applyFont="1" applyBorder="1" applyAlignment="1">
      <alignment vertical="center"/>
    </xf>
    <xf numFmtId="4" fontId="0" fillId="0" borderId="0" xfId="4" applyNumberFormat="1" applyFont="1" applyBorder="1" applyAlignment="1">
      <alignment vertical="center"/>
    </xf>
    <xf numFmtId="4" fontId="12" fillId="0" borderId="0" xfId="4" applyNumberFormat="1" applyFont="1" applyBorder="1" applyAlignment="1">
      <alignment vertical="center"/>
    </xf>
    <xf numFmtId="0" fontId="11" fillId="3" borderId="17" xfId="4" applyFont="1" applyFill="1" applyBorder="1" applyAlignment="1">
      <alignment horizontal="center" vertical="center"/>
    </xf>
    <xf numFmtId="0" fontId="0" fillId="0" borderId="0" xfId="0"/>
    <xf numFmtId="0" fontId="5" fillId="0" borderId="0" xfId="0" applyFont="1" applyBorder="1" applyAlignment="1">
      <alignment horizontal="center" vertical="center" wrapText="1"/>
    </xf>
    <xf numFmtId="0" fontId="0" fillId="0" borderId="0" xfId="0"/>
    <xf numFmtId="0" fontId="0" fillId="0" borderId="14" xfId="0" applyFont="1" applyBorder="1"/>
    <xf numFmtId="22" fontId="10" fillId="0" borderId="14" xfId="0" applyNumberFormat="1" applyFont="1" applyBorder="1" applyAlignment="1">
      <alignment horizontal="right"/>
    </xf>
    <xf numFmtId="4" fontId="11" fillId="3" borderId="26" xfId="4" applyNumberFormat="1" applyFont="1" applyFill="1" applyBorder="1" applyAlignment="1">
      <alignment horizontal="center" vertical="center" wrapText="1"/>
    </xf>
    <xf numFmtId="0" fontId="12" fillId="0" borderId="16" xfId="4" applyFont="1" applyBorder="1" applyAlignment="1">
      <alignment vertical="center"/>
    </xf>
    <xf numFmtId="0" fontId="12" fillId="0" borderId="14" xfId="4" applyFont="1" applyBorder="1" applyAlignment="1">
      <alignment vertical="center"/>
    </xf>
    <xf numFmtId="4" fontId="12" fillId="0" borderId="14" xfId="4" applyNumberFormat="1" applyFont="1" applyBorder="1" applyAlignment="1">
      <alignment vertical="center"/>
    </xf>
    <xf numFmtId="0" fontId="0" fillId="0" borderId="12" xfId="0" applyFont="1" applyBorder="1" applyAlignment="1">
      <alignment wrapText="1"/>
    </xf>
    <xf numFmtId="0" fontId="3" fillId="0" borderId="12" xfId="0" applyFont="1" applyBorder="1" applyAlignment="1">
      <alignment horizontal="left" vertical="center"/>
    </xf>
    <xf numFmtId="0" fontId="3" fillId="0" borderId="12" xfId="0" applyFont="1" applyBorder="1" applyAlignment="1">
      <alignment vertical="center"/>
    </xf>
    <xf numFmtId="0" fontId="0" fillId="0" borderId="12" xfId="0" applyFont="1" applyBorder="1"/>
    <xf numFmtId="0" fontId="0" fillId="0" borderId="13" xfId="0" applyFont="1" applyBorder="1"/>
    <xf numFmtId="0" fontId="0" fillId="0" borderId="14" xfId="0" applyBorder="1"/>
    <xf numFmtId="0" fontId="0" fillId="0" borderId="11" xfId="0" applyFont="1" applyBorder="1" applyAlignment="1">
      <alignment horizontal="center"/>
    </xf>
    <xf numFmtId="0" fontId="0" fillId="0" borderId="7" xfId="0" applyFont="1" applyBorder="1" applyAlignment="1">
      <alignment horizontal="center"/>
    </xf>
    <xf numFmtId="0" fontId="0" fillId="0" borderId="7" xfId="0" applyFont="1" applyBorder="1"/>
    <xf numFmtId="0" fontId="5" fillId="0" borderId="7" xfId="0" applyFont="1" applyBorder="1" applyAlignment="1">
      <alignment horizontal="left" vertical="center" wrapText="1"/>
    </xf>
    <xf numFmtId="0" fontId="11" fillId="3" borderId="27" xfId="4" applyFont="1" applyFill="1" applyBorder="1" applyAlignment="1">
      <alignment horizontal="center" vertical="center" wrapText="1"/>
    </xf>
    <xf numFmtId="3" fontId="11" fillId="5" borderId="28" xfId="4" applyNumberFormat="1" applyFont="1" applyFill="1" applyBorder="1" applyAlignment="1">
      <alignment horizontal="left" vertical="center" wrapText="1"/>
    </xf>
    <xf numFmtId="0" fontId="12" fillId="0" borderId="19" xfId="4" applyFont="1" applyBorder="1" applyAlignment="1">
      <alignment vertical="center"/>
    </xf>
    <xf numFmtId="0" fontId="12" fillId="0" borderId="7" xfId="4" applyFont="1" applyBorder="1" applyAlignment="1">
      <alignment vertical="center"/>
    </xf>
    <xf numFmtId="0" fontId="13" fillId="0" borderId="7" xfId="4" applyFont="1" applyBorder="1" applyAlignment="1">
      <alignment vertical="center"/>
    </xf>
    <xf numFmtId="0" fontId="0" fillId="0" borderId="0" xfId="0"/>
    <xf numFmtId="0" fontId="0" fillId="0" borderId="0" xfId="0"/>
    <xf numFmtId="3" fontId="11" fillId="5" borderId="2" xfId="4" applyNumberFormat="1" applyFont="1" applyFill="1" applyBorder="1" applyAlignment="1">
      <alignment horizontal="left" vertical="center" wrapText="1"/>
    </xf>
    <xf numFmtId="0" fontId="11" fillId="5" borderId="2" xfId="4" applyFont="1" applyFill="1" applyBorder="1" applyAlignment="1">
      <alignment horizontal="center" vertical="center" wrapText="1"/>
    </xf>
    <xf numFmtId="0" fontId="19" fillId="5" borderId="2" xfId="4" applyFont="1" applyFill="1" applyBorder="1" applyAlignment="1">
      <alignment vertical="center" wrapText="1"/>
    </xf>
    <xf numFmtId="0" fontId="11" fillId="5" borderId="2" xfId="4" applyFont="1" applyFill="1" applyBorder="1" applyAlignment="1">
      <alignment vertical="center" wrapText="1"/>
    </xf>
    <xf numFmtId="4" fontId="11" fillId="5" borderId="2" xfId="4" applyNumberFormat="1" applyFont="1" applyFill="1" applyBorder="1" applyAlignment="1">
      <alignment vertical="center" wrapText="1"/>
    </xf>
    <xf numFmtId="0" fontId="9" fillId="6" borderId="3" xfId="6" applyNumberFormat="1" applyFont="1" applyFill="1" applyBorder="1" applyAlignment="1" applyProtection="1">
      <alignment horizontal="center" vertical="center" wrapText="1"/>
    </xf>
    <xf numFmtId="0" fontId="0" fillId="0" borderId="0" xfId="0"/>
    <xf numFmtId="0" fontId="0" fillId="0" borderId="0" xfId="0"/>
    <xf numFmtId="0" fontId="11" fillId="5" borderId="6" xfId="4" applyFont="1" applyFill="1" applyBorder="1" applyAlignment="1">
      <alignment vertical="center" wrapText="1"/>
    </xf>
    <xf numFmtId="4" fontId="11" fillId="5" borderId="6" xfId="4" applyNumberFormat="1" applyFont="1" applyFill="1" applyBorder="1" applyAlignment="1">
      <alignment vertical="center" wrapText="1"/>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horizontal="center" vertical="center"/>
    </xf>
    <xf numFmtId="0" fontId="9" fillId="0" borderId="20" xfId="4" applyFont="1" applyFill="1" applyBorder="1" applyAlignment="1">
      <alignment horizontal="center" vertical="center" wrapText="1"/>
    </xf>
    <xf numFmtId="0" fontId="9" fillId="6" borderId="20" xfId="6" applyNumberFormat="1" applyFont="1" applyFill="1" applyBorder="1" applyAlignment="1" applyProtection="1">
      <alignment horizontal="center" vertical="center" wrapText="1"/>
    </xf>
    <xf numFmtId="0" fontId="9" fillId="6" borderId="21" xfId="6" applyNumberFormat="1" applyFont="1" applyFill="1" applyBorder="1" applyAlignment="1" applyProtection="1">
      <alignment horizontal="center" vertical="center" wrapText="1"/>
    </xf>
    <xf numFmtId="164" fontId="9" fillId="0" borderId="21" xfId="7" applyNumberFormat="1" applyFont="1" applyFill="1" applyBorder="1" applyAlignment="1" applyProtection="1">
      <alignment horizontal="right" vertical="center" wrapText="1"/>
    </xf>
    <xf numFmtId="4" fontId="11" fillId="8" borderId="2" xfId="4" applyNumberFormat="1" applyFont="1" applyFill="1" applyBorder="1" applyAlignment="1">
      <alignment horizontal="right" vertical="center" wrapText="1"/>
    </xf>
    <xf numFmtId="164" fontId="9" fillId="0" borderId="20" xfId="7" applyNumberFormat="1" applyFont="1" applyFill="1" applyBorder="1" applyAlignment="1" applyProtection="1">
      <alignment horizontal="right" vertical="center" wrapText="1"/>
    </xf>
    <xf numFmtId="164" fontId="9" fillId="0" borderId="3" xfId="7" applyNumberFormat="1" applyFont="1" applyFill="1" applyBorder="1" applyAlignment="1" applyProtection="1">
      <alignment horizontal="right" vertical="center" wrapText="1"/>
    </xf>
    <xf numFmtId="164" fontId="9" fillId="6" borderId="20" xfId="7" applyNumberFormat="1" applyFont="1" applyFill="1" applyBorder="1" applyAlignment="1" applyProtection="1">
      <alignment horizontal="right" vertical="center" wrapText="1"/>
    </xf>
    <xf numFmtId="164" fontId="9" fillId="6" borderId="21" xfId="7" applyNumberFormat="1" applyFont="1" applyFill="1" applyBorder="1" applyAlignment="1" applyProtection="1">
      <alignment horizontal="right" vertical="center" wrapText="1"/>
    </xf>
    <xf numFmtId="0" fontId="9" fillId="0" borderId="3" xfId="4" applyFont="1" applyFill="1" applyBorder="1" applyAlignment="1">
      <alignment horizontal="center" vertical="center" wrapText="1"/>
    </xf>
    <xf numFmtId="4" fontId="9" fillId="6" borderId="0" xfId="6" applyNumberFormat="1" applyFont="1" applyFill="1" applyBorder="1" applyAlignment="1">
      <alignment horizontal="right" vertical="center" wrapText="1"/>
    </xf>
    <xf numFmtId="0" fontId="18" fillId="0" borderId="3" xfId="0" applyFont="1" applyBorder="1" applyAlignment="1">
      <alignment horizontal="right" vertical="center"/>
    </xf>
    <xf numFmtId="2" fontId="18" fillId="0" borderId="3" xfId="0" applyNumberFormat="1" applyFont="1" applyBorder="1" applyAlignment="1">
      <alignment vertical="center"/>
    </xf>
    <xf numFmtId="2" fontId="9" fillId="0" borderId="3" xfId="4" applyNumberFormat="1" applyFont="1" applyFill="1" applyBorder="1" applyAlignment="1">
      <alignment horizontal="right" vertical="center" wrapText="1"/>
    </xf>
    <xf numFmtId="3" fontId="11" fillId="5" borderId="6" xfId="4" applyNumberFormat="1" applyFont="1" applyFill="1" applyBorder="1" applyAlignment="1">
      <alignment horizontal="left" vertical="center" wrapText="1"/>
    </xf>
    <xf numFmtId="0" fontId="11" fillId="5" borderId="6" xfId="4" applyFont="1" applyFill="1" applyBorder="1" applyAlignment="1">
      <alignment horizontal="center" vertical="center" wrapText="1"/>
    </xf>
    <xf numFmtId="0" fontId="19" fillId="5" borderId="6" xfId="4" applyFont="1" applyFill="1" applyBorder="1" applyAlignment="1">
      <alignment vertical="center" wrapText="1"/>
    </xf>
    <xf numFmtId="0" fontId="0" fillId="0" borderId="0" xfId="0"/>
    <xf numFmtId="0" fontId="0" fillId="0" borderId="0" xfId="0" applyBorder="1" applyAlignment="1">
      <alignment horizontal="center" vertical="center"/>
    </xf>
    <xf numFmtId="164" fontId="9" fillId="6" borderId="20" xfId="7" applyFont="1" applyFill="1" applyBorder="1" applyAlignment="1">
      <alignment vertical="center"/>
    </xf>
    <xf numFmtId="2" fontId="0" fillId="0" borderId="0" xfId="0" applyNumberFormat="1"/>
    <xf numFmtId="10" fontId="0" fillId="0" borderId="0" xfId="0" applyNumberFormat="1" applyBorder="1" applyAlignment="1">
      <alignment horizontal="center" vertical="center"/>
    </xf>
    <xf numFmtId="0" fontId="9" fillId="6" borderId="3" xfId="4" applyFont="1" applyFill="1" applyBorder="1" applyAlignment="1">
      <alignment horizontal="center" vertical="center" wrapText="1"/>
    </xf>
    <xf numFmtId="4" fontId="0" fillId="0" borderId="0" xfId="0" applyNumberFormat="1"/>
    <xf numFmtId="2" fontId="0" fillId="0" borderId="0" xfId="0" applyNumberFormat="1" applyFill="1" applyBorder="1" applyAlignment="1">
      <alignment horizontal="center" vertical="center"/>
    </xf>
    <xf numFmtId="164" fontId="9" fillId="6" borderId="3" xfId="7" applyNumberFormat="1" applyFont="1" applyFill="1" applyBorder="1" applyAlignment="1" applyProtection="1">
      <alignment horizontal="right" vertical="center" wrapText="1"/>
    </xf>
    <xf numFmtId="0" fontId="11" fillId="0" borderId="0" xfId="0" applyFont="1" applyAlignment="1">
      <alignment horizontal="center" vertical="center"/>
    </xf>
    <xf numFmtId="0" fontId="0" fillId="0" borderId="0" xfId="0" applyAlignment="1">
      <alignment vertical="center"/>
    </xf>
    <xf numFmtId="43" fontId="0" fillId="0" borderId="0" xfId="0" applyNumberFormat="1" applyAlignment="1">
      <alignment vertical="center"/>
    </xf>
    <xf numFmtId="0" fontId="0" fillId="0" borderId="0" xfId="0"/>
    <xf numFmtId="0" fontId="0" fillId="0" borderId="0" xfId="0" applyBorder="1" applyAlignment="1">
      <alignment horizontal="center" vertical="center"/>
    </xf>
    <xf numFmtId="0" fontId="0" fillId="0" borderId="0" xfId="0"/>
    <xf numFmtId="0" fontId="0" fillId="0" borderId="0" xfId="0" applyBorder="1" applyAlignment="1">
      <alignment horizontal="center" vertical="center"/>
    </xf>
    <xf numFmtId="0" fontId="0" fillId="0" borderId="2" xfId="0" applyBorder="1" applyAlignment="1">
      <alignment horizontal="center" vertical="center"/>
    </xf>
    <xf numFmtId="0" fontId="9" fillId="0" borderId="3" xfId="6" applyNumberFormat="1" applyFont="1" applyFill="1" applyBorder="1" applyAlignment="1" applyProtection="1">
      <alignment horizontal="center" vertical="center" wrapText="1"/>
    </xf>
    <xf numFmtId="0" fontId="9" fillId="0" borderId="20" xfId="5" applyNumberFormat="1" applyFont="1" applyFill="1" applyBorder="1" applyAlignment="1" applyProtection="1">
      <alignment horizontal="center" vertical="center" wrapText="1"/>
    </xf>
    <xf numFmtId="0" fontId="9" fillId="6" borderId="20" xfId="4" applyNumberFormat="1" applyFont="1" applyFill="1" applyBorder="1" applyAlignment="1" applyProtection="1">
      <alignment horizontal="center" vertical="center" wrapText="1"/>
    </xf>
    <xf numFmtId="4" fontId="9" fillId="6" borderId="20" xfId="4" applyNumberFormat="1" applyFont="1" applyFill="1" applyBorder="1" applyAlignment="1" applyProtection="1">
      <alignment horizontal="right" vertical="center" wrapText="1"/>
    </xf>
    <xf numFmtId="0" fontId="9" fillId="0" borderId="3" xfId="5" applyNumberFormat="1" applyFont="1" applyFill="1" applyBorder="1" applyAlignment="1" applyProtection="1">
      <alignment horizontal="center" vertical="center" wrapText="1"/>
    </xf>
    <xf numFmtId="0" fontId="9" fillId="6" borderId="3" xfId="4" applyNumberFormat="1" applyFont="1" applyFill="1" applyBorder="1" applyAlignment="1" applyProtection="1">
      <alignment horizontal="center" vertical="center" wrapText="1"/>
    </xf>
    <xf numFmtId="4" fontId="9" fillId="6" borderId="3" xfId="4" applyNumberFormat="1" applyFont="1" applyFill="1" applyBorder="1" applyAlignment="1" applyProtection="1">
      <alignment horizontal="right" vertical="center" wrapText="1"/>
    </xf>
    <xf numFmtId="0" fontId="19" fillId="10" borderId="6" xfId="4" applyFont="1" applyFill="1" applyBorder="1" applyAlignment="1">
      <alignment vertical="center" wrapText="1"/>
    </xf>
    <xf numFmtId="0" fontId="0" fillId="0" borderId="0" xfId="0"/>
    <xf numFmtId="0" fontId="0" fillId="0" borderId="0" xfId="0" applyBorder="1" applyAlignment="1">
      <alignment horizontal="center" vertical="center"/>
    </xf>
    <xf numFmtId="0" fontId="0" fillId="0" borderId="2" xfId="0" applyBorder="1" applyAlignment="1">
      <alignment horizontal="center"/>
    </xf>
    <xf numFmtId="0" fontId="22" fillId="0" borderId="2" xfId="0" applyFont="1" applyBorder="1"/>
    <xf numFmtId="0" fontId="22" fillId="12" borderId="2" xfId="0" applyFont="1" applyFill="1" applyBorder="1" applyAlignment="1">
      <alignment horizontal="center"/>
    </xf>
    <xf numFmtId="0" fontId="22" fillId="12" borderId="2" xfId="0" applyFont="1" applyFill="1" applyBorder="1" applyAlignment="1">
      <alignment horizontal="center" vertical="center"/>
    </xf>
    <xf numFmtId="0" fontId="23" fillId="12" borderId="2" xfId="0" applyFont="1" applyFill="1" applyBorder="1" applyAlignment="1">
      <alignment horizontal="center" vertical="center"/>
    </xf>
    <xf numFmtId="9" fontId="22" fillId="12" borderId="2" xfId="0" applyNumberFormat="1" applyFont="1" applyFill="1" applyBorder="1" applyAlignment="1">
      <alignment horizontal="center" vertical="center"/>
    </xf>
    <xf numFmtId="2" fontId="22" fillId="12" borderId="2" xfId="0" applyNumberFormat="1" applyFont="1" applyFill="1" applyBorder="1"/>
    <xf numFmtId="2" fontId="22" fillId="12" borderId="2" xfId="0" applyNumberFormat="1" applyFont="1" applyFill="1" applyBorder="1" applyAlignment="1">
      <alignment horizontal="center"/>
    </xf>
    <xf numFmtId="0" fontId="0" fillId="0" borderId="0" xfId="0"/>
    <xf numFmtId="0" fontId="0" fillId="0" borderId="0" xfId="0" applyBorder="1" applyAlignment="1">
      <alignment horizontal="center" vertical="center"/>
    </xf>
    <xf numFmtId="0" fontId="18" fillId="0" borderId="3" xfId="0" applyFont="1" applyFill="1" applyBorder="1" applyAlignment="1">
      <alignment horizontal="left" vertical="center" wrapText="1"/>
    </xf>
    <xf numFmtId="0" fontId="18" fillId="0" borderId="20" xfId="0" applyFont="1" applyFill="1" applyBorder="1" applyAlignment="1">
      <alignment horizontal="left" vertical="center" wrapText="1"/>
    </xf>
    <xf numFmtId="0" fontId="18" fillId="0" borderId="21" xfId="0" applyFont="1" applyFill="1" applyBorder="1" applyAlignment="1">
      <alignment horizontal="left" vertical="center" wrapText="1"/>
    </xf>
    <xf numFmtId="0" fontId="9" fillId="0" borderId="21" xfId="6" applyFont="1" applyFill="1" applyBorder="1" applyAlignment="1">
      <alignment horizontal="center" vertical="center" wrapText="1"/>
    </xf>
    <xf numFmtId="0" fontId="0" fillId="0" borderId="2" xfId="0" applyFill="1" applyBorder="1" applyAlignment="1">
      <alignment horizontal="center" vertical="center" wrapText="1"/>
    </xf>
    <xf numFmtId="0" fontId="18" fillId="0" borderId="2" xfId="0" applyFont="1" applyFill="1" applyBorder="1" applyAlignment="1">
      <alignment horizontal="left" vertical="center" wrapText="1"/>
    </xf>
    <xf numFmtId="0" fontId="9" fillId="0" borderId="2" xfId="6" applyFont="1" applyFill="1" applyBorder="1" applyAlignment="1">
      <alignment horizontal="center" vertical="center" wrapText="1"/>
    </xf>
    <xf numFmtId="4" fontId="9" fillId="0" borderId="2" xfId="6" applyNumberFormat="1" applyFont="1" applyFill="1" applyBorder="1" applyAlignment="1">
      <alignment horizontal="right" vertical="center" wrapText="1"/>
    </xf>
    <xf numFmtId="0" fontId="9" fillId="0" borderId="2" xfId="6" applyNumberFormat="1" applyFont="1" applyFill="1" applyBorder="1" applyAlignment="1" applyProtection="1">
      <alignment horizontal="center" vertical="center" wrapText="1"/>
    </xf>
    <xf numFmtId="4" fontId="0" fillId="0" borderId="2" xfId="0" applyNumberFormat="1" applyFill="1" applyBorder="1" applyAlignment="1">
      <alignment horizontal="right" vertical="center"/>
    </xf>
    <xf numFmtId="0" fontId="0" fillId="0" borderId="0" xfId="0" applyFill="1" applyBorder="1" applyAlignment="1">
      <alignment horizontal="left" vertical="center"/>
    </xf>
    <xf numFmtId="0" fontId="0" fillId="0" borderId="0" xfId="0" applyFill="1" applyBorder="1" applyAlignment="1">
      <alignment vertical="center"/>
    </xf>
    <xf numFmtId="4" fontId="12" fillId="0" borderId="21" xfId="0" applyNumberFormat="1" applyFont="1" applyFill="1" applyBorder="1" applyAlignment="1">
      <alignment horizontal="left" vertical="center" wrapText="1"/>
    </xf>
    <xf numFmtId="0" fontId="18" fillId="0" borderId="3" xfId="0" applyFont="1" applyFill="1" applyBorder="1" applyAlignment="1">
      <alignment horizontal="justify" vertical="center"/>
    </xf>
    <xf numFmtId="0" fontId="18" fillId="0" borderId="3" xfId="0" applyFont="1" applyFill="1" applyBorder="1" applyAlignment="1">
      <alignment horizontal="justify" vertical="center" wrapText="1"/>
    </xf>
    <xf numFmtId="0" fontId="18" fillId="0" borderId="3" xfId="4" applyFont="1" applyFill="1" applyBorder="1" applyAlignment="1">
      <alignment vertical="center" wrapText="1"/>
    </xf>
    <xf numFmtId="2" fontId="9" fillId="0" borderId="3" xfId="4" applyNumberFormat="1" applyFont="1" applyFill="1" applyBorder="1" applyAlignment="1" applyProtection="1">
      <alignment horizontal="right" vertical="center" wrapText="1"/>
    </xf>
    <xf numFmtId="0" fontId="9" fillId="6" borderId="21" xfId="4" applyNumberFormat="1" applyFont="1" applyFill="1" applyBorder="1" applyAlignment="1" applyProtection="1">
      <alignment horizontal="center" vertical="center" wrapText="1"/>
    </xf>
    <xf numFmtId="4" fontId="12" fillId="0" borderId="20" xfId="0" applyNumberFormat="1" applyFont="1" applyFill="1" applyBorder="1" applyAlignment="1">
      <alignment horizontal="left" vertical="center" wrapText="1"/>
    </xf>
    <xf numFmtId="0" fontId="9" fillId="6" borderId="20" xfId="4" applyFont="1" applyFill="1" applyBorder="1" applyAlignment="1">
      <alignment horizontal="center" vertical="center" wrapText="1"/>
    </xf>
    <xf numFmtId="0" fontId="18" fillId="0" borderId="20" xfId="0" applyFont="1" applyFill="1" applyBorder="1" applyAlignment="1">
      <alignment horizontal="justify" vertical="center"/>
    </xf>
    <xf numFmtId="0" fontId="18" fillId="0" borderId="21" xfId="0" applyFont="1" applyFill="1" applyBorder="1" applyAlignment="1">
      <alignment horizontal="justify" vertical="center"/>
    </xf>
    <xf numFmtId="0" fontId="0" fillId="0" borderId="0" xfId="0"/>
    <xf numFmtId="0" fontId="0" fillId="0" borderId="0" xfId="0" applyFill="1" applyBorder="1" applyAlignment="1">
      <alignment horizontal="center" vertical="center"/>
    </xf>
    <xf numFmtId="0" fontId="0" fillId="0" borderId="0" xfId="0" applyBorder="1" applyAlignment="1">
      <alignment horizontal="center" vertical="center"/>
    </xf>
    <xf numFmtId="0" fontId="0" fillId="0" borderId="0" xfId="0"/>
    <xf numFmtId="0" fontId="0" fillId="0" borderId="0" xfId="0" applyBorder="1" applyAlignment="1">
      <alignment horizontal="center" vertical="center"/>
    </xf>
    <xf numFmtId="0" fontId="0" fillId="0" borderId="0" xfId="0" applyFill="1" applyBorder="1" applyAlignment="1">
      <alignment horizontal="center" vertical="center"/>
    </xf>
    <xf numFmtId="0" fontId="0" fillId="0" borderId="0" xfId="0"/>
    <xf numFmtId="2" fontId="18" fillId="0" borderId="21" xfId="0" applyNumberFormat="1" applyFont="1" applyBorder="1" applyAlignment="1">
      <alignment vertical="center"/>
    </xf>
    <xf numFmtId="0" fontId="9" fillId="0" borderId="21" xfId="5" applyNumberFormat="1" applyFont="1" applyFill="1" applyBorder="1" applyAlignment="1" applyProtection="1">
      <alignment horizontal="center" vertical="center" wrapText="1"/>
    </xf>
    <xf numFmtId="4" fontId="9" fillId="6" borderId="21" xfId="4" applyNumberFormat="1" applyFont="1" applyFill="1" applyBorder="1" applyAlignment="1" applyProtection="1">
      <alignment horizontal="right" vertical="center" wrapText="1"/>
    </xf>
    <xf numFmtId="0" fontId="9" fillId="0" borderId="20" xfId="0" applyFont="1" applyFill="1" applyBorder="1" applyAlignment="1">
      <alignment horizontal="center" vertical="center" wrapText="1"/>
    </xf>
    <xf numFmtId="0" fontId="18" fillId="0" borderId="20" xfId="0" applyFont="1" applyFill="1" applyBorder="1" applyAlignment="1">
      <alignment horizontal="right" vertical="center"/>
    </xf>
    <xf numFmtId="0" fontId="18" fillId="0" borderId="3"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9" fillId="0" borderId="20" xfId="3" applyFont="1" applyFill="1" applyBorder="1" applyAlignment="1">
      <alignment horizontal="center" vertical="center" wrapText="1"/>
    </xf>
    <xf numFmtId="0" fontId="18" fillId="0" borderId="21" xfId="3" applyFont="1" applyFill="1" applyBorder="1" applyAlignment="1">
      <alignment horizontal="center" vertical="center" wrapText="1"/>
    </xf>
    <xf numFmtId="3" fontId="18" fillId="0" borderId="20" xfId="6" applyNumberFormat="1" applyFont="1" applyFill="1" applyBorder="1" applyAlignment="1" applyProtection="1">
      <alignment horizontal="left" vertical="center" wrapText="1"/>
    </xf>
    <xf numFmtId="0" fontId="18" fillId="0" borderId="3" xfId="0" applyFont="1" applyFill="1" applyBorder="1" applyAlignment="1">
      <alignment horizontal="right" vertical="center"/>
    </xf>
    <xf numFmtId="0" fontId="18" fillId="0" borderId="21" xfId="0" applyFont="1" applyFill="1" applyBorder="1" applyAlignment="1">
      <alignment horizontal="right" vertical="center"/>
    </xf>
    <xf numFmtId="0" fontId="18" fillId="0" borderId="20" xfId="6" applyFont="1" applyBorder="1" applyAlignment="1">
      <alignment horizontal="center" vertical="center" wrapText="1"/>
    </xf>
    <xf numFmtId="3" fontId="18" fillId="0" borderId="3" xfId="6" applyNumberFormat="1" applyFont="1" applyFill="1" applyBorder="1" applyAlignment="1" applyProtection="1">
      <alignment horizontal="left" vertical="center" wrapText="1"/>
    </xf>
    <xf numFmtId="2" fontId="18" fillId="0" borderId="3" xfId="0" applyNumberFormat="1" applyFont="1" applyBorder="1" applyAlignment="1">
      <alignment horizontal="right" vertical="center"/>
    </xf>
    <xf numFmtId="0" fontId="9" fillId="0" borderId="3" xfId="6" applyFont="1" applyFill="1" applyBorder="1" applyAlignment="1">
      <alignment horizontal="center" vertical="center" wrapText="1"/>
    </xf>
    <xf numFmtId="0" fontId="0" fillId="0" borderId="0" xfId="0"/>
    <xf numFmtId="0" fontId="0" fillId="0" borderId="0" xfId="0" applyBorder="1" applyAlignment="1">
      <alignment horizontal="center"/>
    </xf>
    <xf numFmtId="0" fontId="22" fillId="0" borderId="2" xfId="0" applyFont="1" applyBorder="1" applyAlignment="1">
      <alignment horizontal="center"/>
    </xf>
    <xf numFmtId="0" fontId="22" fillId="0" borderId="13" xfId="0" applyFont="1" applyFill="1" applyBorder="1" applyAlignment="1">
      <alignment horizontal="center"/>
    </xf>
    <xf numFmtId="0" fontId="24" fillId="0" borderId="2" xfId="0" applyFont="1" applyBorder="1" applyAlignment="1">
      <alignment horizontal="center"/>
    </xf>
    <xf numFmtId="4" fontId="0" fillId="0" borderId="0" xfId="0" applyNumberFormat="1" applyBorder="1" applyAlignment="1">
      <alignment horizontal="center" vertical="center"/>
    </xf>
    <xf numFmtId="0" fontId="0" fillId="0" borderId="0" xfId="0"/>
    <xf numFmtId="3" fontId="18" fillId="0" borderId="21" xfId="6" applyNumberFormat="1" applyFont="1" applyFill="1" applyBorder="1" applyAlignment="1" applyProtection="1">
      <alignment horizontal="left" vertical="center" wrapText="1"/>
    </xf>
    <xf numFmtId="0" fontId="9" fillId="0" borderId="21" xfId="6" applyNumberFormat="1" applyFont="1" applyFill="1" applyBorder="1" applyAlignment="1" applyProtection="1">
      <alignment horizontal="center" vertical="center" wrapText="1"/>
    </xf>
    <xf numFmtId="2" fontId="18" fillId="0" borderId="21" xfId="0" applyNumberFormat="1" applyFont="1" applyBorder="1" applyAlignment="1">
      <alignment horizontal="right" vertical="center"/>
    </xf>
    <xf numFmtId="2" fontId="9" fillId="0" borderId="21" xfId="7" applyNumberFormat="1" applyFont="1" applyFill="1" applyBorder="1" applyAlignment="1" applyProtection="1">
      <alignment horizontal="right"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18" fillId="0" borderId="2" xfId="0" applyFont="1" applyFill="1" applyBorder="1" applyAlignment="1">
      <alignment horizontal="center" vertical="center" wrapText="1"/>
    </xf>
    <xf numFmtId="0" fontId="22" fillId="15" borderId="2" xfId="0" applyFont="1" applyFill="1" applyBorder="1" applyAlignment="1">
      <alignment horizontal="center" vertical="center"/>
    </xf>
    <xf numFmtId="0" fontId="18" fillId="0" borderId="6" xfId="0" applyFont="1" applyFill="1" applyBorder="1" applyAlignment="1">
      <alignment horizontal="left" vertical="center" wrapText="1"/>
    </xf>
    <xf numFmtId="4" fontId="0" fillId="0" borderId="6" xfId="0" applyNumberFormat="1" applyFill="1" applyBorder="1" applyAlignment="1">
      <alignment horizontal="right" vertical="center"/>
    </xf>
    <xf numFmtId="4" fontId="0" fillId="0" borderId="0" xfId="0" applyNumberFormat="1" applyBorder="1" applyAlignment="1">
      <alignment horizontal="right" vertical="center"/>
    </xf>
    <xf numFmtId="0" fontId="0" fillId="0" borderId="0" xfId="0" applyBorder="1" applyAlignment="1">
      <alignment horizontal="right" vertical="center"/>
    </xf>
    <xf numFmtId="0" fontId="0" fillId="0" borderId="12" xfId="0" applyBorder="1" applyAlignment="1">
      <alignment horizontal="center" vertical="center"/>
    </xf>
    <xf numFmtId="4" fontId="0" fillId="0" borderId="0" xfId="0" applyNumberFormat="1" applyFill="1" applyBorder="1" applyAlignment="1">
      <alignment horizontal="right" vertical="center"/>
    </xf>
    <xf numFmtId="0" fontId="0" fillId="0" borderId="9" xfId="0" applyBorder="1" applyAlignment="1">
      <alignment horizontal="center" vertical="center"/>
    </xf>
    <xf numFmtId="44" fontId="22" fillId="0" borderId="38" xfId="11" applyFont="1" applyBorder="1" applyAlignment="1">
      <alignment horizontal="center" vertical="center"/>
    </xf>
    <xf numFmtId="3" fontId="9" fillId="0" borderId="3" xfId="4" applyNumberFormat="1" applyFont="1" applyFill="1" applyBorder="1" applyAlignment="1">
      <alignment horizontal="left" vertical="center" wrapText="1"/>
    </xf>
    <xf numFmtId="0" fontId="9" fillId="6" borderId="3" xfId="6" applyFont="1" applyFill="1" applyBorder="1" applyAlignment="1">
      <alignment horizontal="center" vertical="center" wrapText="1"/>
    </xf>
    <xf numFmtId="0" fontId="9" fillId="6" borderId="21" xfId="6" applyFont="1" applyFill="1" applyBorder="1" applyAlignment="1">
      <alignment horizontal="center" vertical="center" wrapText="1"/>
    </xf>
    <xf numFmtId="3" fontId="9" fillId="0" borderId="20" xfId="4" applyNumberFormat="1" applyFont="1" applyFill="1" applyBorder="1" applyAlignment="1">
      <alignment horizontal="left" vertical="center" wrapText="1"/>
    </xf>
    <xf numFmtId="0" fontId="18" fillId="0" borderId="20" xfId="4" applyFont="1" applyFill="1" applyBorder="1" applyAlignment="1">
      <alignment vertical="center" wrapText="1"/>
    </xf>
    <xf numFmtId="167" fontId="9" fillId="0" borderId="20" xfId="4" applyNumberFormat="1" applyFont="1" applyFill="1" applyBorder="1" applyAlignment="1">
      <alignment vertical="center" wrapText="1"/>
    </xf>
    <xf numFmtId="0" fontId="9" fillId="0" borderId="20" xfId="4" applyFont="1" applyFill="1" applyBorder="1" applyAlignment="1">
      <alignment vertical="center" wrapText="1"/>
    </xf>
    <xf numFmtId="4" fontId="9" fillId="0" borderId="20" xfId="4" applyNumberFormat="1" applyFont="1" applyFill="1" applyBorder="1" applyAlignment="1">
      <alignment vertical="center" wrapText="1"/>
    </xf>
    <xf numFmtId="4" fontId="9" fillId="0" borderId="3" xfId="6" applyNumberFormat="1" applyFont="1" applyFill="1" applyBorder="1" applyAlignment="1">
      <alignment horizontal="right" vertical="center" wrapText="1"/>
    </xf>
    <xf numFmtId="4" fontId="9" fillId="6" borderId="3" xfId="6" applyNumberFormat="1" applyFont="1" applyFill="1" applyBorder="1" applyAlignment="1">
      <alignment horizontal="right" vertical="center" wrapText="1"/>
    </xf>
    <xf numFmtId="0" fontId="9" fillId="0" borderId="3" xfId="0" applyFont="1" applyFill="1" applyBorder="1" applyAlignment="1">
      <alignment horizontal="left" vertical="center" wrapText="1"/>
    </xf>
    <xf numFmtId="0" fontId="18" fillId="0" borderId="3" xfId="3" applyFont="1" applyFill="1" applyBorder="1" applyAlignment="1">
      <alignment horizontal="center" vertical="center" wrapText="1"/>
    </xf>
    <xf numFmtId="4" fontId="12" fillId="14" borderId="3" xfId="0" applyNumberFormat="1" applyFont="1" applyFill="1" applyBorder="1" applyAlignment="1">
      <alignment horizontal="center" vertical="center" wrapText="1"/>
    </xf>
    <xf numFmtId="2" fontId="9" fillId="0" borderId="3" xfId="7" applyNumberFormat="1" applyFont="1" applyFill="1" applyBorder="1" applyAlignment="1" applyProtection="1">
      <alignment horizontal="right" vertical="center" wrapText="1"/>
    </xf>
    <xf numFmtId="0" fontId="0" fillId="0" borderId="0" xfId="0"/>
    <xf numFmtId="0" fontId="0" fillId="0" borderId="0" xfId="0"/>
    <xf numFmtId="0" fontId="0" fillId="0" borderId="0" xfId="0"/>
    <xf numFmtId="0" fontId="0" fillId="0" borderId="0" xfId="0" applyFill="1" applyBorder="1" applyAlignment="1">
      <alignment horizontal="center" vertical="center"/>
    </xf>
    <xf numFmtId="0" fontId="9" fillId="0" borderId="0" xfId="8" applyBorder="1"/>
    <xf numFmtId="0" fontId="25" fillId="0" borderId="0" xfId="8" applyFont="1" applyBorder="1"/>
    <xf numFmtId="165" fontId="25" fillId="0" borderId="0" xfId="9" applyNumberFormat="1" applyFont="1" applyBorder="1"/>
    <xf numFmtId="165" fontId="9" fillId="0" borderId="0" xfId="9" applyNumberFormat="1" applyBorder="1"/>
    <xf numFmtId="0" fontId="26" fillId="0" borderId="0" xfId="8" applyFont="1" applyBorder="1"/>
    <xf numFmtId="0" fontId="27" fillId="0" borderId="0" xfId="8" applyFont="1" applyBorder="1"/>
    <xf numFmtId="165" fontId="27" fillId="0" borderId="0" xfId="9" applyNumberFormat="1" applyFont="1" applyBorder="1"/>
    <xf numFmtId="0" fontId="28" fillId="0" borderId="0" xfId="8" applyFont="1" applyBorder="1" applyAlignment="1"/>
    <xf numFmtId="0" fontId="31" fillId="0" borderId="0" xfId="8" applyFont="1" applyBorder="1"/>
    <xf numFmtId="9" fontId="0" fillId="0" borderId="0" xfId="2" applyFont="1" applyBorder="1" applyAlignment="1">
      <alignment horizontal="center" vertical="center"/>
    </xf>
    <xf numFmtId="4" fontId="0" fillId="0" borderId="0" xfId="0" applyNumberFormat="1" applyFill="1" applyBorder="1" applyAlignment="1">
      <alignment horizontal="center" vertical="center"/>
    </xf>
    <xf numFmtId="9" fontId="0" fillId="0" borderId="0" xfId="2" applyFont="1" applyFill="1"/>
    <xf numFmtId="9" fontId="0" fillId="0" borderId="0" xfId="2" applyFont="1" applyFill="1" applyBorder="1" applyAlignment="1">
      <alignment horizontal="center" vertical="center"/>
    </xf>
    <xf numFmtId="9" fontId="0" fillId="0" borderId="0" xfId="0" applyNumberFormat="1" applyBorder="1" applyAlignment="1">
      <alignment horizontal="center" vertical="center"/>
    </xf>
    <xf numFmtId="165" fontId="29" fillId="0" borderId="0" xfId="9" applyNumberFormat="1" applyFont="1" applyFill="1" applyBorder="1" applyAlignment="1"/>
    <xf numFmtId="9" fontId="0" fillId="0" borderId="0" xfId="0" applyNumberFormat="1"/>
    <xf numFmtId="165" fontId="27" fillId="17" borderId="2" xfId="9" applyNumberFormat="1" applyFont="1" applyFill="1" applyBorder="1" applyAlignment="1">
      <alignment horizontal="right"/>
    </xf>
    <xf numFmtId="10" fontId="27" fillId="0" borderId="2" xfId="10" applyNumberFormat="1" applyFont="1" applyFill="1" applyBorder="1" applyAlignment="1">
      <alignment horizontal="center"/>
    </xf>
    <xf numFmtId="165" fontId="27" fillId="0" borderId="2" xfId="9" applyNumberFormat="1" applyFont="1" applyFill="1" applyBorder="1" applyAlignment="1">
      <alignment horizontal="center"/>
    </xf>
    <xf numFmtId="9" fontId="27" fillId="0" borderId="2" xfId="10" applyFont="1" applyFill="1" applyBorder="1" applyAlignment="1">
      <alignment horizontal="center"/>
    </xf>
    <xf numFmtId="165" fontId="27" fillId="17" borderId="2" xfId="9" applyNumberFormat="1" applyFont="1" applyFill="1" applyBorder="1" applyAlignment="1">
      <alignment horizontal="center" vertical="center"/>
    </xf>
    <xf numFmtId="10" fontId="27" fillId="0" borderId="2" xfId="10" applyNumberFormat="1" applyFont="1" applyFill="1" applyBorder="1" applyAlignment="1">
      <alignment horizontal="center" vertical="center"/>
    </xf>
    <xf numFmtId="9" fontId="33" fillId="0" borderId="2" xfId="10" applyFont="1" applyFill="1" applyBorder="1" applyAlignment="1">
      <alignment horizontal="center" vertical="center"/>
    </xf>
    <xf numFmtId="9" fontId="27" fillId="0" borderId="2" xfId="10" applyFont="1" applyFill="1" applyBorder="1" applyAlignment="1">
      <alignment horizontal="center" vertical="center"/>
    </xf>
    <xf numFmtId="9" fontId="33" fillId="0" borderId="2" xfId="10" applyFont="1" applyFill="1" applyBorder="1" applyAlignment="1">
      <alignment horizontal="center"/>
    </xf>
    <xf numFmtId="165" fontId="27" fillId="6" borderId="2" xfId="9" applyNumberFormat="1" applyFont="1" applyFill="1" applyBorder="1" applyAlignment="1">
      <alignment horizontal="right"/>
    </xf>
    <xf numFmtId="10" fontId="27" fillId="6" borderId="2" xfId="10" applyNumberFormat="1" applyFont="1" applyFill="1" applyBorder="1" applyAlignment="1">
      <alignment horizontal="center"/>
    </xf>
    <xf numFmtId="165" fontId="34" fillId="17" borderId="2" xfId="9" applyNumberFormat="1" applyFont="1" applyFill="1" applyBorder="1" applyAlignment="1">
      <alignment horizontal="right"/>
    </xf>
    <xf numFmtId="10" fontId="27" fillId="0" borderId="2" xfId="9" applyNumberFormat="1" applyFont="1" applyFill="1" applyBorder="1" applyAlignment="1">
      <alignment horizontal="center"/>
    </xf>
    <xf numFmtId="165" fontId="34" fillId="16" borderId="2" xfId="9" applyNumberFormat="1" applyFont="1" applyFill="1" applyBorder="1" applyAlignment="1">
      <alignment horizontal="right"/>
    </xf>
    <xf numFmtId="9" fontId="34" fillId="16" borderId="2" xfId="10" applyNumberFormat="1" applyFont="1" applyFill="1" applyBorder="1" applyAlignment="1">
      <alignment horizontal="center"/>
    </xf>
    <xf numFmtId="165" fontId="34" fillId="16" borderId="2" xfId="9" applyNumberFormat="1" applyFont="1" applyFill="1" applyBorder="1"/>
    <xf numFmtId="10" fontId="34" fillId="16" borderId="2" xfId="9" applyNumberFormat="1" applyFont="1" applyFill="1" applyBorder="1"/>
    <xf numFmtId="10" fontId="34" fillId="16" borderId="2" xfId="10" applyNumberFormat="1" applyFont="1" applyFill="1" applyBorder="1"/>
    <xf numFmtId="0" fontId="9" fillId="0" borderId="39" xfId="8" applyBorder="1"/>
    <xf numFmtId="0" fontId="9" fillId="0" borderId="1" xfId="8" applyBorder="1"/>
    <xf numFmtId="0" fontId="0" fillId="0" borderId="1" xfId="0" applyBorder="1"/>
    <xf numFmtId="0" fontId="0" fillId="0" borderId="40" xfId="0" applyBorder="1"/>
    <xf numFmtId="0" fontId="9" fillId="0" borderId="41" xfId="8" applyBorder="1"/>
    <xf numFmtId="0" fontId="0" fillId="0" borderId="42" xfId="0" applyBorder="1"/>
    <xf numFmtId="0" fontId="9" fillId="6" borderId="43" xfId="4" applyNumberFormat="1" applyFont="1" applyFill="1" applyBorder="1" applyAlignment="1">
      <alignment horizontal="center" vertical="center" wrapText="1"/>
    </xf>
    <xf numFmtId="9" fontId="27" fillId="0" borderId="45" xfId="10" applyFont="1" applyFill="1" applyBorder="1" applyAlignment="1">
      <alignment horizontal="center"/>
    </xf>
    <xf numFmtId="9" fontId="27" fillId="0" borderId="45" xfId="10" applyFont="1" applyFill="1" applyBorder="1" applyAlignment="1">
      <alignment horizontal="center" vertical="center"/>
    </xf>
    <xf numFmtId="10" fontId="27" fillId="0" borderId="45" xfId="10" applyNumberFormat="1" applyFont="1" applyFill="1" applyBorder="1" applyAlignment="1">
      <alignment horizontal="center"/>
    </xf>
    <xf numFmtId="10" fontId="34" fillId="16" borderId="45" xfId="10" applyNumberFormat="1" applyFont="1" applyFill="1" applyBorder="1"/>
    <xf numFmtId="0" fontId="31" fillId="0" borderId="46" xfId="8" applyFont="1" applyBorder="1" applyAlignment="1"/>
    <xf numFmtId="0" fontId="0" fillId="0" borderId="46" xfId="0" applyBorder="1"/>
    <xf numFmtId="0" fontId="0" fillId="0" borderId="47" xfId="0" applyBorder="1"/>
    <xf numFmtId="0" fontId="30" fillId="0" borderId="9" xfId="8" applyFont="1" applyBorder="1" applyAlignment="1"/>
    <xf numFmtId="0" fontId="28" fillId="0" borderId="9" xfId="8" applyFont="1" applyBorder="1" applyAlignment="1"/>
    <xf numFmtId="0" fontId="25" fillId="0" borderId="0" xfId="8" applyFont="1" applyBorder="1" applyAlignment="1"/>
    <xf numFmtId="0" fontId="4" fillId="0" borderId="0" xfId="8" applyFont="1" applyBorder="1" applyAlignment="1"/>
    <xf numFmtId="167" fontId="9" fillId="0" borderId="3" xfId="4" applyNumberFormat="1" applyFont="1" applyFill="1" applyBorder="1" applyAlignment="1">
      <alignment vertical="center" wrapText="1"/>
    </xf>
    <xf numFmtId="4" fontId="9" fillId="0" borderId="3" xfId="4" applyNumberFormat="1" applyFont="1" applyFill="1" applyBorder="1" applyAlignment="1">
      <alignment vertical="center" wrapText="1"/>
    </xf>
    <xf numFmtId="0" fontId="0" fillId="0" borderId="0" xfId="0"/>
    <xf numFmtId="9" fontId="27" fillId="0" borderId="30" xfId="10" applyFont="1" applyFill="1" applyBorder="1" applyAlignment="1">
      <alignment horizontal="center"/>
    </xf>
    <xf numFmtId="2" fontId="0" fillId="0" borderId="3" xfId="0" applyNumberFormat="1" applyFill="1" applyBorder="1"/>
    <xf numFmtId="3" fontId="9" fillId="0" borderId="21" xfId="4" applyNumberFormat="1" applyFont="1" applyFill="1" applyBorder="1" applyAlignment="1">
      <alignment horizontal="left" vertical="center" wrapText="1"/>
    </xf>
    <xf numFmtId="2" fontId="9" fillId="0" borderId="21" xfId="4" applyNumberFormat="1" applyFont="1" applyFill="1" applyBorder="1" applyAlignment="1">
      <alignment horizontal="right" vertical="center" wrapText="1"/>
    </xf>
    <xf numFmtId="2" fontId="0" fillId="0" borderId="3" xfId="0" applyNumberFormat="1" applyBorder="1" applyAlignment="1">
      <alignment vertical="center"/>
    </xf>
    <xf numFmtId="3" fontId="11" fillId="9" borderId="4" xfId="4" applyNumberFormat="1" applyFont="1" applyFill="1" applyBorder="1" applyAlignment="1">
      <alignment horizontal="right" vertical="center" wrapText="1"/>
    </xf>
    <xf numFmtId="3" fontId="11" fillId="9" borderId="15" xfId="4" applyNumberFormat="1" applyFont="1" applyFill="1" applyBorder="1" applyAlignment="1">
      <alignment horizontal="right" vertical="center" wrapText="1"/>
    </xf>
    <xf numFmtId="3" fontId="11" fillId="9" borderId="5" xfId="4" applyNumberFormat="1" applyFont="1" applyFill="1" applyBorder="1" applyAlignment="1">
      <alignment horizontal="right" vertical="center" wrapText="1"/>
    </xf>
    <xf numFmtId="0" fontId="12" fillId="0" borderId="7" xfId="4" applyFont="1" applyBorder="1" applyAlignment="1">
      <alignment horizontal="center" vertical="center"/>
    </xf>
    <xf numFmtId="0" fontId="12" fillId="0" borderId="0" xfId="4" applyFont="1" applyBorder="1" applyAlignment="1">
      <alignment horizontal="center" vertical="center"/>
    </xf>
    <xf numFmtId="0" fontId="12" fillId="0" borderId="14" xfId="4" applyFont="1" applyBorder="1" applyAlignment="1">
      <alignment horizontal="center" vertical="center"/>
    </xf>
    <xf numFmtId="0" fontId="12" fillId="0" borderId="8" xfId="4" applyFont="1" applyBorder="1" applyAlignment="1">
      <alignment horizontal="center" vertical="center"/>
    </xf>
    <xf numFmtId="0" fontId="12" fillId="0" borderId="9" xfId="4" applyFont="1" applyBorder="1" applyAlignment="1">
      <alignment horizontal="center" vertical="center"/>
    </xf>
    <xf numFmtId="0" fontId="12" fillId="0" borderId="10" xfId="4" applyFont="1" applyBorder="1" applyAlignment="1">
      <alignment horizontal="center" vertical="center"/>
    </xf>
    <xf numFmtId="0" fontId="11" fillId="7" borderId="23" xfId="4" applyFont="1" applyFill="1" applyBorder="1" applyAlignment="1">
      <alignment horizontal="right" vertical="center"/>
    </xf>
    <xf numFmtId="0" fontId="11" fillId="7" borderId="24" xfId="4" applyFont="1" applyFill="1" applyBorder="1" applyAlignment="1">
      <alignment horizontal="right" vertical="center"/>
    </xf>
    <xf numFmtId="0" fontId="11" fillId="7" borderId="25" xfId="4" applyFont="1" applyFill="1" applyBorder="1" applyAlignment="1">
      <alignment horizontal="right" vertical="center"/>
    </xf>
    <xf numFmtId="0" fontId="19" fillId="10" borderId="4" xfId="4" applyFont="1" applyFill="1" applyBorder="1" applyAlignment="1">
      <alignment horizontal="center" vertical="center" wrapText="1"/>
    </xf>
    <xf numFmtId="0" fontId="19" fillId="10" borderId="5" xfId="4" applyFont="1" applyFill="1" applyBorder="1" applyAlignment="1">
      <alignment horizontal="center" vertical="center" wrapText="1"/>
    </xf>
    <xf numFmtId="0" fontId="19" fillId="10" borderId="15" xfId="4"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0" xfId="0" applyFont="1" applyBorder="1" applyAlignment="1">
      <alignment horizontal="center" vertical="center" wrapText="1"/>
    </xf>
    <xf numFmtId="0" fontId="0" fillId="0" borderId="0" xfId="0"/>
    <xf numFmtId="0" fontId="0" fillId="0" borderId="0" xfId="0" applyFill="1" applyBorder="1" applyAlignment="1">
      <alignment horizontal="center" vertical="center"/>
    </xf>
    <xf numFmtId="0" fontId="11" fillId="5" borderId="29" xfId="4" applyFont="1" applyFill="1" applyBorder="1" applyAlignment="1">
      <alignment horizontal="center" vertical="center" wrapText="1"/>
    </xf>
    <xf numFmtId="0" fontId="11" fillId="5" borderId="15" xfId="4" applyFont="1" applyFill="1" applyBorder="1" applyAlignment="1">
      <alignment horizontal="center" vertical="center" wrapText="1"/>
    </xf>
    <xf numFmtId="0" fontId="11" fillId="5" borderId="5" xfId="4" applyFont="1" applyFill="1" applyBorder="1" applyAlignment="1">
      <alignment horizontal="center" vertical="center" wrapText="1"/>
    </xf>
    <xf numFmtId="3" fontId="11" fillId="10" borderId="11" xfId="4" applyNumberFormat="1" applyFont="1" applyFill="1" applyBorder="1" applyAlignment="1">
      <alignment horizontal="center" vertical="center" wrapText="1"/>
    </xf>
    <xf numFmtId="3" fontId="11" fillId="10" borderId="13" xfId="4" applyNumberFormat="1" applyFont="1" applyFill="1" applyBorder="1" applyAlignment="1">
      <alignment horizontal="center" vertical="center" wrapText="1"/>
    </xf>
    <xf numFmtId="0" fontId="11" fillId="10" borderId="11" xfId="4" applyFont="1" applyFill="1" applyBorder="1" applyAlignment="1">
      <alignment horizontal="center" vertical="center" wrapText="1"/>
    </xf>
    <xf numFmtId="0" fontId="11" fillId="10" borderId="12" xfId="4" applyFont="1" applyFill="1" applyBorder="1" applyAlignment="1">
      <alignment horizontal="center" vertical="center" wrapText="1"/>
    </xf>
    <xf numFmtId="0" fontId="11" fillId="10" borderId="13" xfId="4" applyFont="1" applyFill="1" applyBorder="1" applyAlignment="1">
      <alignment horizontal="center" vertical="center" wrapText="1"/>
    </xf>
    <xf numFmtId="165" fontId="29" fillId="0" borderId="0" xfId="9" applyNumberFormat="1" applyFont="1" applyFill="1" applyBorder="1" applyAlignment="1">
      <alignment horizontal="center" vertical="center"/>
    </xf>
    <xf numFmtId="0" fontId="27" fillId="17" borderId="43" xfId="8" applyFont="1" applyFill="1" applyBorder="1" applyAlignment="1">
      <alignment horizontal="center"/>
    </xf>
    <xf numFmtId="0" fontId="27" fillId="17" borderId="2" xfId="8" applyFont="1" applyFill="1" applyBorder="1" applyAlignment="1">
      <alignment horizontal="center"/>
    </xf>
    <xf numFmtId="0" fontId="34" fillId="16" borderId="43" xfId="8" applyFont="1" applyFill="1" applyBorder="1" applyAlignment="1">
      <alignment horizontal="center"/>
    </xf>
    <xf numFmtId="0" fontId="34" fillId="16" borderId="2" xfId="8" applyFont="1" applyFill="1" applyBorder="1" applyAlignment="1">
      <alignment horizontal="center"/>
    </xf>
    <xf numFmtId="0" fontId="32" fillId="17" borderId="2" xfId="8" applyFont="1" applyFill="1" applyBorder="1" applyAlignment="1">
      <alignment horizontal="left" vertical="center" wrapText="1"/>
    </xf>
    <xf numFmtId="0" fontId="32" fillId="6" borderId="2" xfId="8" applyFont="1" applyFill="1" applyBorder="1" applyAlignment="1">
      <alignment horizontal="left"/>
    </xf>
    <xf numFmtId="0" fontId="32" fillId="17" borderId="2" xfId="8" applyFont="1" applyFill="1" applyBorder="1" applyAlignment="1">
      <alignment horizontal="left"/>
    </xf>
    <xf numFmtId="165" fontId="29" fillId="16" borderId="2" xfId="9" applyNumberFormat="1" applyFont="1" applyFill="1" applyBorder="1" applyAlignment="1">
      <alignment horizontal="center" vertical="center"/>
    </xf>
    <xf numFmtId="0" fontId="29" fillId="16" borderId="43" xfId="8" applyFont="1" applyFill="1" applyBorder="1" applyAlignment="1">
      <alignment horizontal="center" vertical="center"/>
    </xf>
    <xf numFmtId="0" fontId="25" fillId="0" borderId="50" xfId="8" applyFont="1" applyBorder="1" applyAlignment="1">
      <alignment horizontal="left" vertical="center"/>
    </xf>
    <xf numFmtId="0" fontId="25" fillId="0" borderId="12" xfId="8" applyFont="1" applyBorder="1" applyAlignment="1">
      <alignment horizontal="left" vertical="center"/>
    </xf>
    <xf numFmtId="0" fontId="25" fillId="0" borderId="48" xfId="8" applyFont="1" applyBorder="1" applyAlignment="1">
      <alignment horizontal="left"/>
    </xf>
    <xf numFmtId="0" fontId="25" fillId="0" borderId="15" xfId="8" applyFont="1" applyBorder="1" applyAlignment="1">
      <alignment horizontal="left"/>
    </xf>
    <xf numFmtId="0" fontId="25" fillId="0" borderId="48" xfId="8" applyFont="1" applyBorder="1" applyAlignment="1">
      <alignment horizontal="left" vertical="center"/>
    </xf>
    <xf numFmtId="0" fontId="25" fillId="0" borderId="15" xfId="8" applyFont="1" applyBorder="1" applyAlignment="1">
      <alignment horizontal="left" vertical="center"/>
    </xf>
    <xf numFmtId="165" fontId="29" fillId="16" borderId="4" xfId="9" applyNumberFormat="1" applyFont="1" applyFill="1" applyBorder="1" applyAlignment="1">
      <alignment horizontal="center" vertical="center"/>
    </xf>
    <xf numFmtId="165" fontId="29" fillId="16" borderId="15" xfId="9" applyNumberFormat="1" applyFont="1" applyFill="1" applyBorder="1" applyAlignment="1">
      <alignment horizontal="center" vertical="center"/>
    </xf>
    <xf numFmtId="165" fontId="29" fillId="16" borderId="44" xfId="9" applyNumberFormat="1" applyFont="1" applyFill="1" applyBorder="1" applyAlignment="1">
      <alignment horizontal="center" vertical="center"/>
    </xf>
    <xf numFmtId="0" fontId="31" fillId="0" borderId="22" xfId="8" applyFont="1" applyBorder="1" applyAlignment="1">
      <alignment horizontal="left"/>
    </xf>
    <xf numFmtId="0" fontId="4" fillId="0" borderId="43" xfId="8" applyFont="1" applyBorder="1" applyAlignment="1">
      <alignment horizontal="center" vertical="center"/>
    </xf>
    <xf numFmtId="0" fontId="4" fillId="0" borderId="2" xfId="8" applyFont="1" applyBorder="1" applyAlignment="1">
      <alignment horizontal="center" vertical="center"/>
    </xf>
    <xf numFmtId="0" fontId="4" fillId="0" borderId="45" xfId="8" applyFont="1" applyBorder="1" applyAlignment="1">
      <alignment horizontal="center" vertical="center"/>
    </xf>
    <xf numFmtId="0" fontId="9" fillId="0" borderId="48" xfId="8" applyBorder="1" applyAlignment="1">
      <alignment horizontal="center"/>
    </xf>
    <xf numFmtId="0" fontId="9" fillId="0" borderId="15" xfId="8" applyBorder="1" applyAlignment="1">
      <alignment horizontal="center"/>
    </xf>
    <xf numFmtId="0" fontId="9" fillId="0" borderId="44" xfId="8" applyBorder="1" applyAlignment="1">
      <alignment horizontal="center"/>
    </xf>
    <xf numFmtId="165" fontId="5" fillId="0" borderId="9" xfId="9" applyNumberFormat="1" applyFont="1" applyFill="1" applyBorder="1" applyAlignment="1">
      <alignment horizontal="center"/>
    </xf>
    <xf numFmtId="0" fontId="30" fillId="0" borderId="49" xfId="8" applyFont="1" applyBorder="1" applyAlignment="1">
      <alignment horizontal="left"/>
    </xf>
    <xf numFmtId="0" fontId="30" fillId="0" borderId="24" xfId="8" applyFont="1" applyBorder="1" applyAlignment="1">
      <alignment horizontal="left"/>
    </xf>
    <xf numFmtId="0" fontId="30" fillId="0" borderId="25" xfId="8" applyFont="1" applyBorder="1" applyAlignment="1">
      <alignment horizontal="left"/>
    </xf>
    <xf numFmtId="0" fontId="30" fillId="0" borderId="43" xfId="8" applyFont="1" applyBorder="1" applyAlignment="1">
      <alignment horizontal="left"/>
    </xf>
    <xf numFmtId="0" fontId="30" fillId="0" borderId="2" xfId="8" applyFont="1" applyBorder="1" applyAlignment="1">
      <alignment horizontal="left"/>
    </xf>
    <xf numFmtId="0" fontId="34" fillId="0" borderId="50" xfId="8" applyFont="1" applyFill="1" applyBorder="1" applyAlignment="1">
      <alignment horizontal="center"/>
    </xf>
    <xf numFmtId="0" fontId="34" fillId="0" borderId="12" xfId="8" applyFont="1" applyFill="1" applyBorder="1" applyAlignment="1">
      <alignment horizontal="center"/>
    </xf>
    <xf numFmtId="0" fontId="34" fillId="0" borderId="51" xfId="8" applyFont="1" applyFill="1" applyBorder="1" applyAlignment="1">
      <alignment horizontal="center"/>
    </xf>
    <xf numFmtId="165" fontId="29" fillId="16" borderId="45" xfId="9" applyNumberFormat="1" applyFont="1" applyFill="1" applyBorder="1" applyAlignment="1">
      <alignment horizontal="center" vertical="center"/>
    </xf>
    <xf numFmtId="0" fontId="29" fillId="16" borderId="2" xfId="8" applyFont="1" applyFill="1" applyBorder="1" applyAlignment="1">
      <alignment horizontal="center" vertical="center"/>
    </xf>
    <xf numFmtId="0" fontId="22" fillId="11" borderId="35" xfId="0" applyFont="1" applyFill="1" applyBorder="1" applyAlignment="1">
      <alignment horizontal="center"/>
    </xf>
    <xf numFmtId="0" fontId="22" fillId="11" borderId="37" xfId="0" applyFont="1" applyFill="1" applyBorder="1" applyAlignment="1">
      <alignment horizontal="center"/>
    </xf>
    <xf numFmtId="0" fontId="22" fillId="0" borderId="4" xfId="0" applyFont="1" applyBorder="1" applyAlignment="1">
      <alignment horizontal="center" vertical="center"/>
    </xf>
    <xf numFmtId="0" fontId="22" fillId="0" borderId="15" xfId="0" applyFont="1" applyBorder="1" applyAlignment="1">
      <alignment horizontal="center" vertical="center"/>
    </xf>
    <xf numFmtId="0" fontId="22" fillId="0" borderId="5" xfId="0" applyFont="1" applyBorder="1" applyAlignment="1">
      <alignment horizontal="center" vertical="center"/>
    </xf>
    <xf numFmtId="0" fontId="22" fillId="11" borderId="32" xfId="0" applyFont="1" applyFill="1" applyBorder="1" applyAlignment="1">
      <alignment horizontal="center"/>
    </xf>
    <xf numFmtId="0" fontId="22" fillId="11" borderId="33" xfId="0" applyFont="1" applyFill="1" applyBorder="1" applyAlignment="1">
      <alignment horizontal="center"/>
    </xf>
    <xf numFmtId="0" fontId="22" fillId="11" borderId="34" xfId="0" applyFont="1" applyFill="1" applyBorder="1" applyAlignment="1">
      <alignment horizontal="center"/>
    </xf>
    <xf numFmtId="0" fontId="22" fillId="13" borderId="32" xfId="0" applyFont="1" applyFill="1" applyBorder="1" applyAlignment="1">
      <alignment horizontal="center"/>
    </xf>
    <xf numFmtId="0" fontId="22" fillId="13" borderId="33" xfId="0" applyFont="1" applyFill="1" applyBorder="1" applyAlignment="1">
      <alignment horizontal="center"/>
    </xf>
    <xf numFmtId="0" fontId="22" fillId="13" borderId="34" xfId="0" applyFont="1" applyFill="1" applyBorder="1" applyAlignment="1">
      <alignment horizontal="center"/>
    </xf>
    <xf numFmtId="0" fontId="22" fillId="0" borderId="2" xfId="0" applyFont="1" applyBorder="1" applyAlignment="1">
      <alignment horizontal="center" vertical="center"/>
    </xf>
    <xf numFmtId="0" fontId="22" fillId="11" borderId="36" xfId="0" applyFont="1" applyFill="1" applyBorder="1" applyAlignment="1">
      <alignment horizontal="center"/>
    </xf>
    <xf numFmtId="0" fontId="22" fillId="12" borderId="6" xfId="0" applyFont="1" applyFill="1" applyBorder="1" applyAlignment="1">
      <alignment horizontal="center" vertical="center"/>
    </xf>
    <xf numFmtId="0" fontId="22" fillId="12" borderId="30" xfId="0" applyFont="1" applyFill="1" applyBorder="1" applyAlignment="1">
      <alignment horizontal="center" vertical="center"/>
    </xf>
    <xf numFmtId="0" fontId="22" fillId="12" borderId="31" xfId="0" applyFont="1" applyFill="1" applyBorder="1" applyAlignment="1">
      <alignment horizontal="center" vertical="center"/>
    </xf>
    <xf numFmtId="0" fontId="22" fillId="15" borderId="2" xfId="0" applyFont="1" applyFill="1" applyBorder="1" applyAlignment="1">
      <alignment horizontal="center" wrapText="1"/>
    </xf>
    <xf numFmtId="2" fontId="0" fillId="0" borderId="0" xfId="0" applyNumberFormat="1" applyBorder="1" applyAlignment="1">
      <alignment horizontal="center" vertical="center"/>
    </xf>
  </cellXfs>
  <cellStyles count="12">
    <cellStyle name="Bom" xfId="3" builtinId="26"/>
    <cellStyle name="Excel Built-in Normal" xfId="4"/>
    <cellStyle name="Excel Built-in Normal 1 2" xfId="6"/>
    <cellStyle name="Excel Built-in Normal 2" xfId="5"/>
    <cellStyle name="Moeda" xfId="11" builtinId="4"/>
    <cellStyle name="Normal" xfId="0" builtinId="0"/>
    <cellStyle name="Normal 2" xfId="8"/>
    <cellStyle name="Porcentagem" xfId="2" builtinId="5"/>
    <cellStyle name="Porcentagem 2" xfId="10"/>
    <cellStyle name="Separador de milhares" xfId="1" builtinId="3"/>
    <cellStyle name="Separador de milhares 2" xfId="9"/>
    <cellStyle name="Vírgula 2" xfId="7"/>
  </cellStyles>
  <dxfs count="0"/>
  <tableStyles count="0" defaultTableStyle="TableStyleMedium9" defaultPivotStyle="PivotStyleLight16"/>
  <colors>
    <mruColors>
      <color rgb="FFFFCC99"/>
      <color rgb="FFFF2121"/>
      <color rgb="FFD1D1FF"/>
      <color rgb="FFFF5B5B"/>
      <color rgb="FFFEF1DE"/>
      <color rgb="FFFEE6C2"/>
      <color rgb="FFFFE5E5"/>
      <color rgb="FFFBE5F8"/>
      <color rgb="FF97BAFF"/>
      <color rgb="FF6969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1695450</xdr:colOff>
      <xdr:row>87</xdr:row>
      <xdr:rowOff>161925</xdr:rowOff>
    </xdr:from>
    <xdr:to>
      <xdr:col>2</xdr:col>
      <xdr:colOff>0</xdr:colOff>
      <xdr:row>88</xdr:row>
      <xdr:rowOff>1</xdr:rowOff>
    </xdr:to>
    <xdr:pic>
      <xdr:nvPicPr>
        <xdr:cNvPr id="2" name="Imagem 13" descr="ricaRDO.png"/>
        <xdr:cNvPicPr>
          <a:picLocks noChangeAspect="1"/>
        </xdr:cNvPicPr>
      </xdr:nvPicPr>
      <xdr:blipFill>
        <a:blip xmlns:r="http://schemas.openxmlformats.org/officeDocument/2006/relationships" r:embed="rId1"/>
        <a:srcRect/>
        <a:stretch>
          <a:fillRect/>
        </a:stretch>
      </xdr:blipFill>
      <xdr:spPr bwMode="auto">
        <a:xfrm>
          <a:off x="3171825" y="75037950"/>
          <a:ext cx="1390650" cy="723900"/>
        </a:xfrm>
        <a:prstGeom prst="rect">
          <a:avLst/>
        </a:prstGeom>
        <a:noFill/>
        <a:ln w="9525">
          <a:noFill/>
          <a:miter lim="800000"/>
          <a:headEnd/>
          <a:tailEnd/>
        </a:ln>
      </xdr:spPr>
    </xdr:pic>
    <xdr:clientData/>
  </xdr:twoCellAnchor>
  <xdr:twoCellAnchor editAs="oneCell">
    <xdr:from>
      <xdr:col>1</xdr:col>
      <xdr:colOff>47625</xdr:colOff>
      <xdr:row>0</xdr:row>
      <xdr:rowOff>28575</xdr:rowOff>
    </xdr:from>
    <xdr:to>
      <xdr:col>2</xdr:col>
      <xdr:colOff>871538</xdr:colOff>
      <xdr:row>3</xdr:row>
      <xdr:rowOff>133350</xdr:rowOff>
    </xdr:to>
    <xdr:pic>
      <xdr:nvPicPr>
        <xdr:cNvPr id="3" name="Imagem 3" descr="bandeira GASPAR.png"/>
        <xdr:cNvPicPr>
          <a:picLocks noChangeAspect="1"/>
        </xdr:cNvPicPr>
      </xdr:nvPicPr>
      <xdr:blipFill>
        <a:blip xmlns:r="http://schemas.openxmlformats.org/officeDocument/2006/relationships" r:embed="rId2" cstate="print"/>
        <a:srcRect/>
        <a:stretch>
          <a:fillRect/>
        </a:stretch>
      </xdr:blipFill>
      <xdr:spPr bwMode="auto">
        <a:xfrm>
          <a:off x="47625" y="28575"/>
          <a:ext cx="1181100" cy="723900"/>
        </a:xfrm>
        <a:prstGeom prst="rect">
          <a:avLst/>
        </a:prstGeom>
        <a:noFill/>
        <a:ln w="9525">
          <a:noFill/>
          <a:miter lim="800000"/>
          <a:headEnd/>
          <a:tailEnd/>
        </a:ln>
      </xdr:spPr>
    </xdr:pic>
    <xdr:clientData/>
  </xdr:twoCellAnchor>
  <xdr:twoCellAnchor editAs="oneCell">
    <xdr:from>
      <xdr:col>7</xdr:col>
      <xdr:colOff>619126</xdr:colOff>
      <xdr:row>0</xdr:row>
      <xdr:rowOff>95250</xdr:rowOff>
    </xdr:from>
    <xdr:to>
      <xdr:col>8</xdr:col>
      <xdr:colOff>638176</xdr:colOff>
      <xdr:row>3</xdr:row>
      <xdr:rowOff>171450</xdr:rowOff>
    </xdr:to>
    <xdr:pic>
      <xdr:nvPicPr>
        <xdr:cNvPr id="4" name="Imagem 4" descr="brasao_oficial_pequeno.jpg"/>
        <xdr:cNvPicPr>
          <a:picLocks noChangeAspect="1"/>
        </xdr:cNvPicPr>
      </xdr:nvPicPr>
      <xdr:blipFill>
        <a:blip xmlns:r="http://schemas.openxmlformats.org/officeDocument/2006/relationships" r:embed="rId3" cstate="print"/>
        <a:srcRect/>
        <a:stretch>
          <a:fillRect/>
        </a:stretch>
      </xdr:blipFill>
      <xdr:spPr bwMode="auto">
        <a:xfrm>
          <a:off x="9286876" y="95250"/>
          <a:ext cx="819150" cy="695325"/>
        </a:xfrm>
        <a:prstGeom prst="rect">
          <a:avLst/>
        </a:prstGeom>
        <a:noFill/>
        <a:ln w="9525">
          <a:noFill/>
          <a:miter lim="800000"/>
          <a:headEnd/>
          <a:tailEnd/>
        </a:ln>
      </xdr:spPr>
    </xdr:pic>
    <xdr:clientData/>
  </xdr:twoCellAnchor>
  <xdr:twoCellAnchor editAs="oneCell">
    <xdr:from>
      <xdr:col>3</xdr:col>
      <xdr:colOff>409575</xdr:colOff>
      <xdr:row>82</xdr:row>
      <xdr:rowOff>0</xdr:rowOff>
    </xdr:from>
    <xdr:to>
      <xdr:col>3</xdr:col>
      <xdr:colOff>609600</xdr:colOff>
      <xdr:row>83</xdr:row>
      <xdr:rowOff>180973</xdr:rowOff>
    </xdr:to>
    <xdr:sp macro="" textlink="">
      <xdr:nvSpPr>
        <xdr:cNvPr id="5" name="AutoShape 172"/>
        <xdr:cNvSpPr>
          <a:spLocks noChangeAspect="1" noChangeArrowheads="1"/>
        </xdr:cNvSpPr>
      </xdr:nvSpPr>
      <xdr:spPr bwMode="auto">
        <a:xfrm>
          <a:off x="1885950" y="74609325"/>
          <a:ext cx="1019175" cy="6381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T105"/>
  <sheetViews>
    <sheetView showGridLines="0" tabSelected="1" topLeftCell="A57" workbookViewId="0">
      <selection activeCell="K70" sqref="K70"/>
    </sheetView>
  </sheetViews>
  <sheetFormatPr defaultRowHeight="15"/>
  <cols>
    <col min="1" max="1" width="9.140625" style="52"/>
    <col min="2" max="2" width="5.42578125" customWidth="1"/>
    <col min="3" max="3" width="17.42578125" customWidth="1"/>
    <col min="4" max="4" width="69.42578125" customWidth="1"/>
    <col min="5" max="5" width="9.140625" bestFit="1" customWidth="1"/>
    <col min="6" max="6" width="9.28515625" bestFit="1" customWidth="1"/>
    <col min="7" max="7" width="10.28515625" customWidth="1"/>
    <col min="8" max="8" width="12" customWidth="1"/>
    <col min="9" max="9" width="16.140625" bestFit="1" customWidth="1"/>
    <col min="10" max="10" width="9.5703125" customWidth="1"/>
    <col min="11" max="11" width="12.7109375" bestFit="1" customWidth="1"/>
    <col min="12" max="12" width="10.85546875" customWidth="1"/>
    <col min="13" max="14" width="10.28515625" customWidth="1"/>
    <col min="15" max="15" width="9.140625" customWidth="1"/>
    <col min="16" max="18" width="9.7109375" customWidth="1"/>
  </cols>
  <sheetData>
    <row r="1" spans="1:20" ht="18" customHeight="1">
      <c r="A1" s="64"/>
      <c r="B1" s="65"/>
      <c r="C1" s="59"/>
      <c r="D1" s="60" t="s">
        <v>34</v>
      </c>
      <c r="E1" s="61"/>
      <c r="F1" s="61"/>
      <c r="G1" s="62"/>
      <c r="H1" s="62"/>
      <c r="I1" s="63"/>
    </row>
    <row r="2" spans="1:20" ht="15.75" customHeight="1">
      <c r="A2" s="64"/>
      <c r="B2" s="66"/>
      <c r="C2" s="1"/>
      <c r="D2" s="40" t="s">
        <v>35</v>
      </c>
      <c r="E2" s="8"/>
      <c r="F2" s="8"/>
      <c r="G2" s="2"/>
      <c r="H2" s="2"/>
      <c r="I2" s="53"/>
    </row>
    <row r="3" spans="1:20" ht="15" customHeight="1">
      <c r="A3" s="64"/>
      <c r="B3" s="66"/>
      <c r="C3" s="1"/>
      <c r="D3" s="37" t="s">
        <v>36</v>
      </c>
      <c r="E3" s="9"/>
      <c r="F3" s="9"/>
      <c r="G3" s="2"/>
      <c r="H3" s="2"/>
      <c r="I3" s="53"/>
    </row>
    <row r="4" spans="1:20" ht="15" customHeight="1">
      <c r="A4" s="64"/>
      <c r="B4" s="66"/>
      <c r="C4" s="1"/>
      <c r="D4" s="37" t="s">
        <v>37</v>
      </c>
      <c r="E4" s="2"/>
      <c r="F4" s="3"/>
      <c r="G4" s="2"/>
      <c r="H4" s="2"/>
      <c r="I4" s="53"/>
    </row>
    <row r="5" spans="1:20">
      <c r="A5" s="64"/>
      <c r="B5" s="304"/>
      <c r="C5" s="305"/>
      <c r="D5" s="11"/>
      <c r="E5" s="4"/>
      <c r="F5" s="5"/>
      <c r="G5" s="6" t="s">
        <v>1</v>
      </c>
      <c r="H5" s="7">
        <v>0.26850000000000002</v>
      </c>
      <c r="I5" s="54">
        <f ca="1">NOW()</f>
        <v>43368.717492592594</v>
      </c>
    </row>
    <row r="6" spans="1:20">
      <c r="A6" s="64"/>
      <c r="B6" s="67"/>
      <c r="C6" s="2"/>
      <c r="D6" s="51" t="s">
        <v>0</v>
      </c>
      <c r="E6" s="4"/>
      <c r="F6" s="5"/>
      <c r="G6" s="4"/>
      <c r="H6" s="4"/>
      <c r="I6" s="54"/>
      <c r="K6" s="306"/>
      <c r="L6" s="306"/>
      <c r="M6" s="306"/>
      <c r="N6" s="306"/>
      <c r="O6" s="306"/>
      <c r="P6" s="306"/>
      <c r="Q6" s="306"/>
      <c r="R6" s="306"/>
      <c r="S6" s="306"/>
      <c r="T6" s="306"/>
    </row>
    <row r="7" spans="1:20" s="30" customFormat="1">
      <c r="A7" s="64"/>
      <c r="B7" s="68"/>
      <c r="C7" s="37"/>
      <c r="D7" s="51"/>
      <c r="E7" s="4"/>
      <c r="F7" s="5"/>
      <c r="G7" s="4"/>
      <c r="H7" s="4"/>
      <c r="I7" s="54"/>
    </row>
    <row r="8" spans="1:20" ht="25.5">
      <c r="A8" s="64"/>
      <c r="B8" s="69" t="s">
        <v>2</v>
      </c>
      <c r="C8" s="15" t="s">
        <v>3</v>
      </c>
      <c r="D8" s="15" t="s">
        <v>4</v>
      </c>
      <c r="E8" s="49" t="s">
        <v>5</v>
      </c>
      <c r="F8" s="16" t="s">
        <v>6</v>
      </c>
      <c r="G8" s="17" t="s">
        <v>7</v>
      </c>
      <c r="H8" s="17" t="s">
        <v>8</v>
      </c>
      <c r="I8" s="55" t="s">
        <v>9</v>
      </c>
      <c r="K8" s="306"/>
      <c r="L8" s="306"/>
      <c r="M8" s="306"/>
      <c r="N8" s="306"/>
      <c r="O8" s="306"/>
      <c r="P8" s="306"/>
      <c r="Q8" s="306"/>
      <c r="R8" s="306"/>
      <c r="S8" s="306"/>
      <c r="T8" s="306"/>
    </row>
    <row r="9" spans="1:20">
      <c r="A9" s="64"/>
      <c r="B9" s="70" t="s">
        <v>10</v>
      </c>
      <c r="C9" s="18"/>
      <c r="D9" s="19" t="s">
        <v>11</v>
      </c>
      <c r="E9" s="308"/>
      <c r="F9" s="309"/>
      <c r="G9" s="309"/>
      <c r="H9" s="309"/>
      <c r="I9" s="310"/>
    </row>
    <row r="10" spans="1:20" ht="17.100000000000001" customHeight="1">
      <c r="A10" s="64"/>
      <c r="B10" s="32" t="s">
        <v>12</v>
      </c>
      <c r="C10" s="175" t="s">
        <v>27</v>
      </c>
      <c r="D10" s="163" t="s">
        <v>24</v>
      </c>
      <c r="E10" s="125" t="s">
        <v>25</v>
      </c>
      <c r="F10" s="39">
        <v>2</v>
      </c>
      <c r="G10" s="176">
        <v>301.70999999999998</v>
      </c>
      <c r="H10" s="176">
        <f t="shared" ref="H10:H12" si="0">ROUND(G10*1.2685,2)</f>
        <v>382.72</v>
      </c>
      <c r="I10" s="33">
        <f t="shared" ref="I10:I12" si="1">ROUND(F10*H10,2)</f>
        <v>765.44</v>
      </c>
      <c r="K10">
        <v>1</v>
      </c>
      <c r="L10">
        <v>2</v>
      </c>
      <c r="M10">
        <v>3</v>
      </c>
      <c r="N10">
        <v>4</v>
      </c>
      <c r="O10">
        <v>5</v>
      </c>
      <c r="P10">
        <v>6</v>
      </c>
    </row>
    <row r="11" spans="1:20" s="74" customFormat="1" ht="25.5">
      <c r="A11" s="64"/>
      <c r="B11" s="20" t="s">
        <v>13</v>
      </c>
      <c r="C11" s="177" t="s">
        <v>137</v>
      </c>
      <c r="D11" s="156" t="s">
        <v>155</v>
      </c>
      <c r="E11" s="128" t="s">
        <v>32</v>
      </c>
      <c r="F11" s="159">
        <v>6</v>
      </c>
      <c r="G11" s="22">
        <v>398.58</v>
      </c>
      <c r="H11" s="22">
        <f>ROUND(G11*1.2685*1.1138,2)</f>
        <v>563.14</v>
      </c>
      <c r="I11" s="22">
        <f t="shared" si="1"/>
        <v>3378.84</v>
      </c>
      <c r="K11" s="23">
        <f>(I11/6)+I10+(I12/6)</f>
        <v>2343.38</v>
      </c>
      <c r="L11" s="74">
        <f>(I11/6)+(I12/6)</f>
        <v>1577.94</v>
      </c>
      <c r="M11" s="74">
        <f>L11</f>
        <v>1577.94</v>
      </c>
      <c r="N11" s="74">
        <f>L11</f>
        <v>1577.94</v>
      </c>
      <c r="O11" s="74">
        <f>L11</f>
        <v>1577.94</v>
      </c>
      <c r="P11" s="74">
        <f>O11</f>
        <v>1577.94</v>
      </c>
    </row>
    <row r="12" spans="1:20" s="74" customFormat="1" ht="25.5">
      <c r="A12" s="64"/>
      <c r="B12" s="34" t="s">
        <v>14</v>
      </c>
      <c r="C12" s="178" t="s">
        <v>28</v>
      </c>
      <c r="D12" s="156" t="s">
        <v>33</v>
      </c>
      <c r="E12" s="160" t="s">
        <v>32</v>
      </c>
      <c r="F12" s="38">
        <v>6</v>
      </c>
      <c r="G12" s="38">
        <v>800</v>
      </c>
      <c r="H12" s="38">
        <f t="shared" si="0"/>
        <v>1014.8</v>
      </c>
      <c r="I12" s="38">
        <f t="shared" si="1"/>
        <v>6088.8</v>
      </c>
      <c r="K12" s="240">
        <f>K11/I13</f>
        <v>0.22900045734031202</v>
      </c>
      <c r="L12" s="241">
        <f>L11/I13</f>
        <v>0.1541999085319376</v>
      </c>
      <c r="M12" s="241">
        <f>L12</f>
        <v>0.1541999085319376</v>
      </c>
      <c r="N12" s="241">
        <f>L12</f>
        <v>0.1541999085319376</v>
      </c>
      <c r="O12" s="241">
        <f>L12</f>
        <v>0.1541999085319376</v>
      </c>
      <c r="P12" s="242">
        <f>O12</f>
        <v>0.1541999085319376</v>
      </c>
      <c r="Q12" s="24"/>
      <c r="R12" s="24"/>
      <c r="S12" s="24"/>
      <c r="T12" s="24"/>
    </row>
    <row r="13" spans="1:20" s="82" customFormat="1" ht="15" customHeight="1">
      <c r="A13" s="64"/>
      <c r="B13" s="289" t="s">
        <v>58</v>
      </c>
      <c r="C13" s="290"/>
      <c r="D13" s="290"/>
      <c r="E13" s="290"/>
      <c r="F13" s="290"/>
      <c r="G13" s="290"/>
      <c r="H13" s="291"/>
      <c r="I13" s="93">
        <f>ROUND(SUM(I10:I12),2)</f>
        <v>10233.08</v>
      </c>
      <c r="K13" s="307"/>
      <c r="L13" s="307"/>
      <c r="M13" s="307"/>
      <c r="N13" s="307"/>
      <c r="O13" s="88"/>
      <c r="P13" s="24"/>
      <c r="Q13" s="24"/>
      <c r="R13" s="24"/>
      <c r="S13" s="24"/>
      <c r="T13" s="24"/>
    </row>
    <row r="14" spans="1:20" s="74" customFormat="1" ht="15" customHeight="1">
      <c r="A14" s="64"/>
      <c r="B14" s="76" t="s">
        <v>15</v>
      </c>
      <c r="C14" s="77"/>
      <c r="D14" s="78" t="s">
        <v>23</v>
      </c>
      <c r="E14" s="79"/>
      <c r="F14" s="79"/>
      <c r="G14" s="79"/>
      <c r="H14" s="79"/>
      <c r="I14" s="80"/>
      <c r="K14" s="153"/>
      <c r="L14" s="154"/>
      <c r="M14" s="154"/>
      <c r="N14" s="154"/>
      <c r="O14" s="88"/>
      <c r="P14" s="24"/>
      <c r="Q14" s="24"/>
      <c r="R14" s="24"/>
      <c r="S14" s="24"/>
      <c r="T14" s="24"/>
    </row>
    <row r="15" spans="1:20" s="131" customFormat="1" ht="114.75">
      <c r="A15" s="64"/>
      <c r="B15" s="32" t="s">
        <v>136</v>
      </c>
      <c r="C15" s="179" t="s">
        <v>86</v>
      </c>
      <c r="D15" s="161" t="s">
        <v>267</v>
      </c>
      <c r="E15" s="162" t="s">
        <v>81</v>
      </c>
      <c r="F15" s="39">
        <f>((((1003*1)+(1165*0.55)+(1413*0.35)+(675*0.2)+(125*1))*1.15)+4.15)</f>
        <v>2762.1950000000002</v>
      </c>
      <c r="G15" s="33">
        <f>Composição!G19</f>
        <v>22</v>
      </c>
      <c r="H15" s="33">
        <f>ROUND(G15*1.2685,2)</f>
        <v>27.91</v>
      </c>
      <c r="I15" s="39">
        <f>ROUND(F15*H15,2)</f>
        <v>77092.86</v>
      </c>
      <c r="K15" s="10"/>
      <c r="L15" s="88"/>
      <c r="M15" s="88"/>
      <c r="N15" s="88"/>
      <c r="O15" s="88"/>
      <c r="P15" s="132"/>
      <c r="Q15" s="132"/>
      <c r="R15" s="132"/>
      <c r="S15" s="132"/>
      <c r="T15" s="132"/>
    </row>
    <row r="16" spans="1:20" s="74" customFormat="1" ht="25.5">
      <c r="A16" s="64"/>
      <c r="B16" s="34" t="s">
        <v>16</v>
      </c>
      <c r="C16" s="180" t="s">
        <v>28</v>
      </c>
      <c r="D16" s="155" t="s">
        <v>38</v>
      </c>
      <c r="E16" s="35" t="s">
        <v>26</v>
      </c>
      <c r="F16" s="38">
        <v>1</v>
      </c>
      <c r="G16" s="36">
        <v>800</v>
      </c>
      <c r="H16" s="36">
        <f>ROUND(G16*1.2685,2)</f>
        <v>1014.8</v>
      </c>
      <c r="I16" s="36">
        <f>ROUND(F16*H16,2)</f>
        <v>1014.8</v>
      </c>
      <c r="K16" s="10"/>
      <c r="L16" s="307"/>
      <c r="M16" s="307"/>
      <c r="N16" s="307"/>
      <c r="O16" s="88"/>
      <c r="P16" s="24"/>
      <c r="Q16" s="24"/>
      <c r="R16" s="24"/>
      <c r="S16" s="24"/>
      <c r="T16" s="24"/>
    </row>
    <row r="17" spans="1:20" s="82" customFormat="1" ht="15" customHeight="1">
      <c r="A17" s="64"/>
      <c r="B17" s="289" t="s">
        <v>59</v>
      </c>
      <c r="C17" s="290"/>
      <c r="D17" s="290"/>
      <c r="E17" s="290"/>
      <c r="F17" s="290"/>
      <c r="G17" s="290"/>
      <c r="H17" s="291"/>
      <c r="I17" s="93">
        <f>ROUND(SUM(I15:I16),2)</f>
        <v>78107.66</v>
      </c>
      <c r="K17" s="154"/>
      <c r="L17" s="154"/>
      <c r="M17" s="154"/>
      <c r="N17" s="154"/>
      <c r="O17" s="88"/>
      <c r="P17" s="24"/>
      <c r="Q17" s="24"/>
      <c r="R17" s="24"/>
      <c r="S17" s="24"/>
      <c r="T17" s="24"/>
    </row>
    <row r="18" spans="1:20" s="165" customFormat="1">
      <c r="A18" s="64"/>
      <c r="B18" s="76" t="s">
        <v>17</v>
      </c>
      <c r="C18" s="77"/>
      <c r="D18" s="78" t="s">
        <v>141</v>
      </c>
      <c r="E18" s="79"/>
      <c r="F18" s="79"/>
      <c r="G18" s="79"/>
      <c r="H18" s="79"/>
      <c r="I18" s="80"/>
      <c r="K18" s="14"/>
      <c r="L18" s="14"/>
      <c r="M18" s="166"/>
      <c r="N18" s="166"/>
      <c r="O18" s="166"/>
      <c r="P18" s="167"/>
      <c r="Q18" s="167"/>
      <c r="R18" s="167"/>
      <c r="S18" s="167"/>
      <c r="T18" s="167"/>
    </row>
    <row r="19" spans="1:20" s="165" customFormat="1" ht="25.5">
      <c r="A19" s="64"/>
      <c r="B19" s="32" t="s">
        <v>39</v>
      </c>
      <c r="C19" s="124" t="s">
        <v>151</v>
      </c>
      <c r="D19" s="163" t="s">
        <v>156</v>
      </c>
      <c r="E19" s="125" t="s">
        <v>26</v>
      </c>
      <c r="F19" s="39">
        <v>2</v>
      </c>
      <c r="G19" s="126">
        <v>460.53</v>
      </c>
      <c r="H19" s="33">
        <f>ROUND(G19*1.2685*1.1138,2)</f>
        <v>650.66</v>
      </c>
      <c r="I19" s="33">
        <f>ROUND(H19*F19,2)</f>
        <v>1301.32</v>
      </c>
      <c r="K19" s="167"/>
      <c r="L19" s="167"/>
      <c r="M19" s="167"/>
      <c r="N19" s="167"/>
      <c r="O19" s="167"/>
      <c r="P19" s="167"/>
      <c r="Q19" s="167"/>
      <c r="R19" s="167"/>
      <c r="S19" s="167"/>
      <c r="T19" s="167"/>
    </row>
    <row r="20" spans="1:20" s="165" customFormat="1" ht="25.5">
      <c r="A20" s="64"/>
      <c r="B20" s="34" t="s">
        <v>42</v>
      </c>
      <c r="C20" s="173" t="s">
        <v>152</v>
      </c>
      <c r="D20" s="164" t="s">
        <v>157</v>
      </c>
      <c r="E20" s="160" t="s">
        <v>41</v>
      </c>
      <c r="F20" s="38">
        <f>86.13*1.1</f>
        <v>94.743000000000009</v>
      </c>
      <c r="G20" s="174">
        <v>20.14</v>
      </c>
      <c r="H20" s="36">
        <f>ROUND(G20*1.2685*1.1138,2)</f>
        <v>28.45</v>
      </c>
      <c r="I20" s="36">
        <f>ROUND(H20*F20,2)</f>
        <v>2695.44</v>
      </c>
      <c r="K20" s="167"/>
      <c r="L20" s="167"/>
      <c r="M20" s="167"/>
      <c r="N20" s="167"/>
      <c r="O20" s="167"/>
      <c r="P20" s="167"/>
      <c r="Q20" s="167"/>
      <c r="R20" s="167"/>
      <c r="S20" s="167"/>
      <c r="T20" s="167"/>
    </row>
    <row r="21" spans="1:20" s="168" customFormat="1" ht="15" customHeight="1">
      <c r="A21" s="64"/>
      <c r="B21" s="289" t="s">
        <v>60</v>
      </c>
      <c r="C21" s="290"/>
      <c r="D21" s="290"/>
      <c r="E21" s="290"/>
      <c r="F21" s="290"/>
      <c r="G21" s="290"/>
      <c r="H21" s="291"/>
      <c r="I21" s="93">
        <f>ROUND(SUM(I19:I20),2)</f>
        <v>3996.76</v>
      </c>
      <c r="K21" s="154"/>
      <c r="L21" s="154"/>
      <c r="M21" s="154"/>
      <c r="N21" s="154"/>
      <c r="O21" s="170"/>
      <c r="P21" s="169"/>
      <c r="Q21" s="169"/>
      <c r="R21" s="169"/>
      <c r="S21" s="169"/>
      <c r="T21" s="169"/>
    </row>
    <row r="22" spans="1:20" s="75" customFormat="1">
      <c r="A22" s="64"/>
      <c r="B22" s="76" t="s">
        <v>18</v>
      </c>
      <c r="C22" s="77"/>
      <c r="D22" s="78" t="s">
        <v>29</v>
      </c>
      <c r="E22" s="79"/>
      <c r="F22" s="79"/>
      <c r="G22" s="79"/>
      <c r="H22" s="79"/>
      <c r="I22" s="80"/>
      <c r="K22" s="14"/>
      <c r="L22" s="14"/>
      <c r="M22" s="88"/>
      <c r="N22" s="88"/>
      <c r="O22" s="88"/>
      <c r="P22" s="24"/>
      <c r="Q22" s="24"/>
      <c r="R22" s="24"/>
      <c r="S22" s="24"/>
      <c r="T22" s="24"/>
    </row>
    <row r="23" spans="1:20" s="118" customFormat="1">
      <c r="A23" s="64"/>
      <c r="B23" s="311"/>
      <c r="C23" s="312"/>
      <c r="D23" s="130" t="s">
        <v>123</v>
      </c>
      <c r="E23" s="313"/>
      <c r="F23" s="314"/>
      <c r="G23" s="314"/>
      <c r="H23" s="314"/>
      <c r="I23" s="315"/>
      <c r="K23" s="14"/>
      <c r="L23" s="14"/>
      <c r="M23" s="88"/>
      <c r="N23" s="88"/>
      <c r="O23" s="88"/>
      <c r="P23" s="119"/>
      <c r="Q23" s="119"/>
      <c r="R23" s="119"/>
      <c r="S23" s="119"/>
      <c r="T23" s="119"/>
    </row>
    <row r="24" spans="1:20" s="283" customFormat="1">
      <c r="A24" s="64"/>
      <c r="B24" s="32" t="s">
        <v>44</v>
      </c>
      <c r="C24" s="124" t="s">
        <v>28</v>
      </c>
      <c r="D24" s="163" t="s">
        <v>269</v>
      </c>
      <c r="E24" s="125" t="s">
        <v>26</v>
      </c>
      <c r="F24" s="39">
        <v>1</v>
      </c>
      <c r="G24" s="126">
        <v>1500</v>
      </c>
      <c r="H24" s="33">
        <f>ROUND(F24*G24*1.2685,2)</f>
        <v>1902.75</v>
      </c>
      <c r="I24" s="33">
        <f>ROUND(H24*F24,2)</f>
        <v>1902.75</v>
      </c>
      <c r="K24" s="193"/>
      <c r="L24" s="169"/>
      <c r="N24" s="169"/>
      <c r="O24" s="169"/>
      <c r="P24" s="169"/>
      <c r="Q24" s="169"/>
      <c r="R24" s="169"/>
      <c r="S24" s="169"/>
      <c r="T24" s="169"/>
    </row>
    <row r="25" spans="1:20" s="283" customFormat="1" ht="38.25">
      <c r="A25" s="64"/>
      <c r="B25" s="20" t="s">
        <v>45</v>
      </c>
      <c r="C25" s="127" t="s">
        <v>28</v>
      </c>
      <c r="D25" s="156" t="s">
        <v>273</v>
      </c>
      <c r="E25" s="128" t="s">
        <v>26</v>
      </c>
      <c r="F25" s="22">
        <v>1</v>
      </c>
      <c r="G25" s="129">
        <v>8000</v>
      </c>
      <c r="H25" s="21">
        <f>ROUND(F25*G25*1.2685,2)</f>
        <v>10148</v>
      </c>
      <c r="I25" s="21">
        <f>ROUND(H25*F25,2)</f>
        <v>10148</v>
      </c>
      <c r="K25" s="193"/>
      <c r="L25" s="169"/>
      <c r="N25" s="169"/>
      <c r="O25" s="169"/>
      <c r="P25" s="169"/>
      <c r="Q25" s="169"/>
      <c r="R25" s="169"/>
      <c r="S25" s="169"/>
      <c r="T25" s="169"/>
    </row>
    <row r="26" spans="1:20" s="283" customFormat="1" ht="38.25">
      <c r="A26" s="64"/>
      <c r="B26" s="20" t="s">
        <v>162</v>
      </c>
      <c r="C26" s="127" t="s">
        <v>275</v>
      </c>
      <c r="D26" s="156" t="s">
        <v>276</v>
      </c>
      <c r="E26" s="128" t="s">
        <v>41</v>
      </c>
      <c r="F26" s="288">
        <f>61*6</f>
        <v>366</v>
      </c>
      <c r="G26" s="22">
        <v>57.56</v>
      </c>
      <c r="H26" s="21">
        <f>ROUND(G26*1.2685,2)</f>
        <v>73.010000000000005</v>
      </c>
      <c r="I26" s="21">
        <f>ROUND(F26*H26,2)</f>
        <v>26721.66</v>
      </c>
      <c r="K26" s="193"/>
      <c r="L26" s="169"/>
      <c r="N26" s="169"/>
      <c r="O26" s="169"/>
      <c r="P26" s="169"/>
      <c r="Q26" s="169"/>
      <c r="R26" s="169"/>
      <c r="S26" s="169"/>
      <c r="T26" s="169"/>
    </row>
    <row r="27" spans="1:20" s="283" customFormat="1" ht="25.5">
      <c r="A27" s="64"/>
      <c r="B27" s="20" t="s">
        <v>163</v>
      </c>
      <c r="C27" s="127" t="s">
        <v>272</v>
      </c>
      <c r="D27" s="156" t="s">
        <v>277</v>
      </c>
      <c r="E27" s="128" t="s">
        <v>91</v>
      </c>
      <c r="F27" s="22">
        <f>14*F26</f>
        <v>5124</v>
      </c>
      <c r="G27" s="129">
        <v>6.53</v>
      </c>
      <c r="H27" s="21">
        <f>ROUND(G27*1.2685,2)</f>
        <v>8.2799999999999994</v>
      </c>
      <c r="I27" s="21">
        <f>ROUND(F27*H27,2)</f>
        <v>42426.720000000001</v>
      </c>
      <c r="K27" s="193"/>
      <c r="L27" s="169"/>
      <c r="N27" s="169"/>
      <c r="O27" s="169"/>
      <c r="P27" s="169"/>
      <c r="Q27" s="169"/>
      <c r="R27" s="169"/>
      <c r="S27" s="169"/>
      <c r="T27" s="169"/>
    </row>
    <row r="28" spans="1:20" s="118" customFormat="1" ht="38.25">
      <c r="A28" s="64"/>
      <c r="B28" s="20" t="s">
        <v>164</v>
      </c>
      <c r="C28" s="127" t="s">
        <v>270</v>
      </c>
      <c r="D28" s="156" t="s">
        <v>271</v>
      </c>
      <c r="E28" s="128" t="s">
        <v>26</v>
      </c>
      <c r="F28" s="22">
        <f>35+26</f>
        <v>61</v>
      </c>
      <c r="G28" s="129">
        <f>30.48*1.1138</f>
        <v>33.948623999999995</v>
      </c>
      <c r="H28" s="21">
        <f>ROUND(G28*1.2685*1.1138,2)</f>
        <v>47.96</v>
      </c>
      <c r="I28" s="21">
        <f>ROUND(F28*H28,2)</f>
        <v>2925.56</v>
      </c>
      <c r="K28" s="238"/>
      <c r="L28" s="119"/>
      <c r="N28" s="119"/>
      <c r="O28" s="119"/>
      <c r="P28" s="119"/>
      <c r="Q28" s="119"/>
      <c r="R28" s="119"/>
      <c r="S28" s="119"/>
      <c r="T28" s="119"/>
    </row>
    <row r="29" spans="1:20" s="120" customFormat="1" ht="25.5">
      <c r="A29" s="64"/>
      <c r="B29" s="20" t="s">
        <v>165</v>
      </c>
      <c r="C29" s="127" t="s">
        <v>93</v>
      </c>
      <c r="D29" s="157" t="s">
        <v>95</v>
      </c>
      <c r="E29" s="128" t="s">
        <v>91</v>
      </c>
      <c r="F29" s="22">
        <f>Quantitativos!D17</f>
        <v>1815.8047600000002</v>
      </c>
      <c r="G29" s="129">
        <v>6.11</v>
      </c>
      <c r="H29" s="21">
        <f t="shared" ref="H29:H30" si="2">ROUND(G29*1.2685,2)</f>
        <v>7.75</v>
      </c>
      <c r="I29" s="21">
        <f t="shared" ref="I29:I31" si="3">ROUND(F29*H29,2)</f>
        <v>14072.49</v>
      </c>
      <c r="K29" s="121"/>
      <c r="L29" s="121"/>
      <c r="M29" s="121"/>
      <c r="N29" s="121"/>
      <c r="O29" s="121"/>
      <c r="P29" s="121"/>
      <c r="Q29" s="121"/>
      <c r="R29" s="121"/>
      <c r="S29" s="121"/>
      <c r="T29" s="121"/>
    </row>
    <row r="30" spans="1:20" s="120" customFormat="1" ht="25.5">
      <c r="A30" s="64"/>
      <c r="B30" s="20" t="s">
        <v>274</v>
      </c>
      <c r="C30" s="127" t="s">
        <v>94</v>
      </c>
      <c r="D30" s="156" t="s">
        <v>96</v>
      </c>
      <c r="E30" s="128" t="s">
        <v>91</v>
      </c>
      <c r="F30" s="22">
        <f>Quantitativos!D18</f>
        <v>1835.7477600000002</v>
      </c>
      <c r="G30" s="129">
        <v>5.35</v>
      </c>
      <c r="H30" s="21">
        <f t="shared" si="2"/>
        <v>6.79</v>
      </c>
      <c r="I30" s="21">
        <f t="shared" si="3"/>
        <v>12464.73</v>
      </c>
      <c r="K30" s="121"/>
      <c r="L30" s="121"/>
      <c r="M30" s="121"/>
      <c r="N30" s="121"/>
      <c r="O30" s="121"/>
      <c r="P30" s="121"/>
      <c r="Q30" s="121"/>
      <c r="R30" s="121"/>
      <c r="S30" s="121"/>
      <c r="T30" s="121"/>
    </row>
    <row r="31" spans="1:20" s="168" customFormat="1" ht="63.75">
      <c r="A31" s="64"/>
      <c r="B31" s="20" t="s">
        <v>166</v>
      </c>
      <c r="C31" s="187" t="s">
        <v>216</v>
      </c>
      <c r="D31" s="157" t="s">
        <v>217</v>
      </c>
      <c r="E31" s="128" t="s">
        <v>25</v>
      </c>
      <c r="F31" s="22">
        <f>Quantitativos!C35</f>
        <v>1163.432</v>
      </c>
      <c r="G31" s="21">
        <f>L33</f>
        <v>15.312000000000001</v>
      </c>
      <c r="H31" s="21">
        <f>ROUND(G31*1.2685,2)</f>
        <v>19.420000000000002</v>
      </c>
      <c r="I31" s="21">
        <f t="shared" si="3"/>
        <v>22593.85</v>
      </c>
      <c r="K31" s="122">
        <f>0.25*2.5</f>
        <v>0.625</v>
      </c>
      <c r="L31" s="122">
        <f>9.57</f>
        <v>9.57</v>
      </c>
      <c r="M31" s="169"/>
      <c r="N31" s="169"/>
      <c r="O31" s="169"/>
      <c r="P31" s="169"/>
      <c r="Q31" s="169"/>
      <c r="R31" s="169"/>
      <c r="S31" s="169"/>
      <c r="T31" s="169"/>
    </row>
    <row r="32" spans="1:20" s="118" customFormat="1" ht="38.25">
      <c r="A32" s="64"/>
      <c r="B32" s="34" t="s">
        <v>167</v>
      </c>
      <c r="C32" s="146" t="s">
        <v>92</v>
      </c>
      <c r="D32" s="164" t="s">
        <v>268</v>
      </c>
      <c r="E32" s="35" t="s">
        <v>81</v>
      </c>
      <c r="F32" s="38">
        <f>Quantitativos!G26</f>
        <v>52.152000000000001</v>
      </c>
      <c r="G32" s="36">
        <f>370.37</f>
        <v>370.37</v>
      </c>
      <c r="H32" s="36">
        <f>ROUND(G32*1.2685*1.1138,2)</f>
        <v>523.28</v>
      </c>
      <c r="I32" s="36">
        <f t="shared" ref="I32" si="4">ROUND(F32*H32,2)</f>
        <v>27290.1</v>
      </c>
      <c r="J32" s="119"/>
      <c r="K32" s="122">
        <v>1</v>
      </c>
      <c r="L32" s="122" t="s">
        <v>213</v>
      </c>
      <c r="M32" s="119"/>
      <c r="N32" s="119"/>
      <c r="O32" s="119"/>
      <c r="P32" s="119"/>
      <c r="Q32" s="119"/>
      <c r="R32" s="119"/>
      <c r="S32" s="119"/>
      <c r="T32" s="119"/>
    </row>
    <row r="33" spans="1:20" s="118" customFormat="1">
      <c r="A33" s="64"/>
      <c r="B33" s="301"/>
      <c r="C33" s="302"/>
      <c r="D33" s="130" t="s">
        <v>90</v>
      </c>
      <c r="E33" s="301"/>
      <c r="F33" s="303"/>
      <c r="G33" s="303"/>
      <c r="H33" s="303"/>
      <c r="I33" s="302"/>
      <c r="K33" s="122" t="s">
        <v>214</v>
      </c>
      <c r="L33" s="122">
        <f>L31*K32/K31</f>
        <v>15.312000000000001</v>
      </c>
      <c r="M33" s="119"/>
      <c r="N33" s="119"/>
      <c r="O33" s="119"/>
      <c r="P33" s="119"/>
      <c r="Q33" s="119"/>
      <c r="R33" s="119"/>
      <c r="S33" s="119"/>
      <c r="T33" s="119"/>
    </row>
    <row r="34" spans="1:20" s="75" customFormat="1" ht="89.25">
      <c r="A34" s="64"/>
      <c r="B34" s="32" t="s">
        <v>146</v>
      </c>
      <c r="C34" s="90" t="s">
        <v>40</v>
      </c>
      <c r="D34" s="144" t="s">
        <v>84</v>
      </c>
      <c r="E34" s="90" t="s">
        <v>41</v>
      </c>
      <c r="F34" s="94">
        <f>338+17-4.6-1.2</f>
        <v>349.2</v>
      </c>
      <c r="G34" s="96">
        <f>180</f>
        <v>180</v>
      </c>
      <c r="H34" s="33">
        <f>ROUND(G34*1.2685*1.1138,2)</f>
        <v>254.31</v>
      </c>
      <c r="I34" s="33">
        <f t="shared" ref="I34:I37" si="5">ROUND(F34*H34,2)</f>
        <v>88805.05</v>
      </c>
      <c r="M34" s="24"/>
      <c r="N34" s="24"/>
      <c r="O34" s="24"/>
      <c r="P34" s="24"/>
      <c r="Q34" s="24"/>
      <c r="R34" s="24"/>
      <c r="S34" s="24"/>
      <c r="T34" s="24"/>
    </row>
    <row r="35" spans="1:20" s="75" customFormat="1" ht="25.5">
      <c r="A35" s="64"/>
      <c r="B35" s="20" t="s">
        <v>166</v>
      </c>
      <c r="C35" s="81" t="s">
        <v>52</v>
      </c>
      <c r="D35" s="143" t="s">
        <v>50</v>
      </c>
      <c r="E35" s="81" t="s">
        <v>25</v>
      </c>
      <c r="F35" s="182">
        <f>216*1.5</f>
        <v>324</v>
      </c>
      <c r="G35" s="114">
        <v>7.74</v>
      </c>
      <c r="H35" s="21">
        <f>ROUND(G35*1.2685*1.1138,2)</f>
        <v>10.94</v>
      </c>
      <c r="I35" s="21">
        <f t="shared" si="5"/>
        <v>3544.56</v>
      </c>
      <c r="M35" s="24"/>
      <c r="N35" s="24"/>
      <c r="O35" s="24"/>
      <c r="P35" s="24"/>
      <c r="Q35" s="24"/>
      <c r="R35" s="24"/>
      <c r="S35" s="24"/>
      <c r="T35" s="24"/>
    </row>
    <row r="36" spans="1:20" s="106" customFormat="1" ht="63.75">
      <c r="A36" s="64"/>
      <c r="B36" s="20" t="s">
        <v>167</v>
      </c>
      <c r="C36" s="81" t="s">
        <v>83</v>
      </c>
      <c r="D36" s="143" t="s">
        <v>160</v>
      </c>
      <c r="E36" s="81" t="s">
        <v>25</v>
      </c>
      <c r="F36" s="182">
        <f>2.3*4.6</f>
        <v>10.579999999999998</v>
      </c>
      <c r="G36" s="114">
        <v>221.09</v>
      </c>
      <c r="H36" s="21">
        <f>ROUND(G36*1.2685*1.1138,2)</f>
        <v>312.37</v>
      </c>
      <c r="I36" s="21">
        <f t="shared" si="5"/>
        <v>3304.87</v>
      </c>
      <c r="K36" s="193"/>
      <c r="L36" s="107"/>
      <c r="M36" s="107"/>
      <c r="N36" s="107"/>
      <c r="O36" s="107"/>
      <c r="P36" s="107"/>
      <c r="Q36" s="107"/>
      <c r="R36" s="107"/>
      <c r="S36" s="107"/>
      <c r="T36" s="107"/>
    </row>
    <row r="37" spans="1:20" s="106" customFormat="1" ht="63.75">
      <c r="A37" s="64"/>
      <c r="B37" s="34" t="s">
        <v>168</v>
      </c>
      <c r="C37" s="91" t="s">
        <v>83</v>
      </c>
      <c r="D37" s="145" t="s">
        <v>85</v>
      </c>
      <c r="E37" s="91" t="s">
        <v>25</v>
      </c>
      <c r="F37" s="183">
        <f>1.2*2.3</f>
        <v>2.76</v>
      </c>
      <c r="G37" s="97">
        <v>221.09</v>
      </c>
      <c r="H37" s="36">
        <f>ROUND(G37*1.2685*1.1138,2)</f>
        <v>312.37</v>
      </c>
      <c r="I37" s="36">
        <f t="shared" si="5"/>
        <v>862.14</v>
      </c>
      <c r="K37" s="238"/>
      <c r="L37" s="107"/>
      <c r="M37" s="107"/>
      <c r="N37" s="107"/>
      <c r="O37" s="107"/>
      <c r="P37" s="107"/>
      <c r="Q37" s="107"/>
      <c r="R37" s="107"/>
      <c r="S37" s="107"/>
      <c r="T37" s="107"/>
    </row>
    <row r="38" spans="1:20" s="82" customFormat="1" ht="15" customHeight="1">
      <c r="A38" s="64"/>
      <c r="B38" s="289" t="s">
        <v>197</v>
      </c>
      <c r="C38" s="290"/>
      <c r="D38" s="290"/>
      <c r="E38" s="290"/>
      <c r="F38" s="290"/>
      <c r="G38" s="290"/>
      <c r="H38" s="291"/>
      <c r="I38" s="93">
        <f>ROUND(SUM(I24:I37),2)</f>
        <v>257062.48</v>
      </c>
      <c r="K38" s="87"/>
      <c r="L38" s="87"/>
      <c r="M38" s="87"/>
      <c r="N38" s="87"/>
      <c r="O38" s="24"/>
      <c r="P38" s="24"/>
      <c r="Q38" s="24"/>
      <c r="R38" s="24"/>
      <c r="S38" s="24"/>
      <c r="T38" s="24"/>
    </row>
    <row r="39" spans="1:20" s="82" customFormat="1">
      <c r="A39" s="64"/>
      <c r="B39" s="76" t="s">
        <v>19</v>
      </c>
      <c r="C39" s="77"/>
      <c r="D39" s="78" t="s">
        <v>43</v>
      </c>
      <c r="E39" s="79"/>
      <c r="F39" s="79"/>
      <c r="G39" s="79"/>
      <c r="H39" s="79"/>
      <c r="I39" s="80"/>
      <c r="K39" s="24"/>
      <c r="L39" s="24"/>
      <c r="M39" s="24"/>
      <c r="N39" s="24"/>
      <c r="O39" s="24"/>
      <c r="P39" s="24"/>
      <c r="Q39" s="24"/>
      <c r="R39" s="24"/>
      <c r="S39" s="24"/>
      <c r="T39" s="24"/>
    </row>
    <row r="40" spans="1:20" s="82" customFormat="1" ht="51">
      <c r="A40" s="64"/>
      <c r="B40" s="32" t="s">
        <v>53</v>
      </c>
      <c r="C40" s="90" t="s">
        <v>28</v>
      </c>
      <c r="D40" s="144" t="s">
        <v>47</v>
      </c>
      <c r="E40" s="90" t="s">
        <v>25</v>
      </c>
      <c r="F40" s="94">
        <f>201*0.2*1.1</f>
        <v>44.220000000000006</v>
      </c>
      <c r="G40" s="94">
        <v>62.25</v>
      </c>
      <c r="H40" s="33">
        <f t="shared" ref="H40:H43" si="6">ROUND(G40*1.2685,2)</f>
        <v>78.959999999999994</v>
      </c>
      <c r="I40" s="33">
        <f>ROUND(H40*F40,2)</f>
        <v>3491.61</v>
      </c>
      <c r="K40" s="193"/>
      <c r="L40" s="24"/>
      <c r="M40" s="24"/>
      <c r="N40" s="24"/>
      <c r="O40" s="24"/>
      <c r="P40" s="24"/>
      <c r="Q40" s="24"/>
      <c r="R40" s="24"/>
      <c r="S40" s="24"/>
      <c r="T40" s="24"/>
    </row>
    <row r="41" spans="1:20" s="82" customFormat="1" ht="38.25">
      <c r="A41" s="64"/>
      <c r="B41" s="20" t="s">
        <v>54</v>
      </c>
      <c r="C41" s="81" t="s">
        <v>28</v>
      </c>
      <c r="D41" s="143" t="s">
        <v>46</v>
      </c>
      <c r="E41" s="81" t="s">
        <v>25</v>
      </c>
      <c r="F41" s="100">
        <f>68*0.2*1.1</f>
        <v>14.960000000000003</v>
      </c>
      <c r="G41" s="95">
        <v>62.25</v>
      </c>
      <c r="H41" s="21">
        <f t="shared" si="6"/>
        <v>78.959999999999994</v>
      </c>
      <c r="I41" s="21">
        <f t="shared" ref="I41:I43" si="7">ROUND(H41*F41,2)</f>
        <v>1181.24</v>
      </c>
      <c r="K41" s="24"/>
      <c r="L41" s="24"/>
      <c r="M41" s="24"/>
      <c r="N41" s="24"/>
      <c r="O41" s="24"/>
      <c r="P41" s="24"/>
      <c r="Q41" s="24"/>
      <c r="R41" s="24"/>
      <c r="S41" s="24"/>
      <c r="T41" s="24"/>
    </row>
    <row r="42" spans="1:20" s="82" customFormat="1" ht="25.5">
      <c r="A42" s="64"/>
      <c r="B42" s="20" t="s">
        <v>55</v>
      </c>
      <c r="C42" s="81" t="s">
        <v>28</v>
      </c>
      <c r="D42" s="143" t="s">
        <v>48</v>
      </c>
      <c r="E42" s="81" t="s">
        <v>25</v>
      </c>
      <c r="F42" s="101">
        <f>27.58*1.1</f>
        <v>30.338000000000001</v>
      </c>
      <c r="G42" s="95">
        <v>91.56</v>
      </c>
      <c r="H42" s="21">
        <f t="shared" si="6"/>
        <v>116.14</v>
      </c>
      <c r="I42" s="21">
        <f t="shared" si="7"/>
        <v>3523.46</v>
      </c>
      <c r="K42" s="24"/>
      <c r="L42" s="24"/>
      <c r="M42" s="24"/>
      <c r="N42" s="24"/>
      <c r="O42" s="24"/>
      <c r="P42" s="24"/>
      <c r="Q42" s="24"/>
      <c r="R42" s="24"/>
      <c r="S42" s="24"/>
      <c r="T42" s="24"/>
    </row>
    <row r="43" spans="1:20" s="82" customFormat="1" ht="25.5">
      <c r="A43" s="64"/>
      <c r="B43" s="34" t="s">
        <v>56</v>
      </c>
      <c r="C43" s="91" t="s">
        <v>28</v>
      </c>
      <c r="D43" s="145" t="s">
        <v>218</v>
      </c>
      <c r="E43" s="91" t="s">
        <v>25</v>
      </c>
      <c r="F43" s="172">
        <v>10.88</v>
      </c>
      <c r="G43" s="92">
        <v>91.56</v>
      </c>
      <c r="H43" s="36">
        <f t="shared" si="6"/>
        <v>116.14</v>
      </c>
      <c r="I43" s="36">
        <f t="shared" si="7"/>
        <v>1263.5999999999999</v>
      </c>
      <c r="K43" s="24"/>
      <c r="L43" s="24"/>
      <c r="M43" s="24"/>
      <c r="N43" s="24"/>
      <c r="O43" s="24"/>
      <c r="P43" s="24"/>
      <c r="Q43" s="24"/>
      <c r="R43" s="24"/>
      <c r="S43" s="24"/>
      <c r="T43" s="24"/>
    </row>
    <row r="44" spans="1:20" s="82" customFormat="1" ht="15" customHeight="1">
      <c r="A44" s="64"/>
      <c r="B44" s="289" t="s">
        <v>61</v>
      </c>
      <c r="C44" s="290"/>
      <c r="D44" s="290"/>
      <c r="E44" s="290"/>
      <c r="F44" s="290"/>
      <c r="G44" s="290"/>
      <c r="H44" s="291"/>
      <c r="I44" s="93">
        <f>ROUND(SUM(I40:I43),2)</f>
        <v>9459.91</v>
      </c>
      <c r="K44" s="87"/>
      <c r="L44" s="87"/>
      <c r="M44" s="87"/>
      <c r="N44" s="87"/>
      <c r="O44" s="24"/>
      <c r="P44" s="24"/>
      <c r="Q44" s="24"/>
      <c r="R44" s="24"/>
      <c r="S44" s="24"/>
      <c r="T44" s="24"/>
    </row>
    <row r="45" spans="1:20" s="82" customFormat="1">
      <c r="A45" s="64"/>
      <c r="B45" s="103" t="s">
        <v>20</v>
      </c>
      <c r="C45" s="104"/>
      <c r="D45" s="105" t="s">
        <v>49</v>
      </c>
      <c r="E45" s="84"/>
      <c r="F45" s="84"/>
      <c r="G45" s="84"/>
      <c r="H45" s="84"/>
      <c r="I45" s="85"/>
      <c r="K45" s="24"/>
      <c r="L45" s="24"/>
      <c r="M45" s="24"/>
      <c r="N45" s="24"/>
      <c r="O45" s="24"/>
      <c r="P45" s="24"/>
      <c r="Q45" s="24"/>
      <c r="R45" s="24"/>
      <c r="S45" s="24"/>
      <c r="T45" s="24"/>
    </row>
    <row r="46" spans="1:20" s="14" customFormat="1" ht="25.5">
      <c r="A46" s="10"/>
      <c r="B46" s="214" t="s">
        <v>63</v>
      </c>
      <c r="C46" s="89" t="s">
        <v>51</v>
      </c>
      <c r="D46" s="215" t="s">
        <v>57</v>
      </c>
      <c r="E46" s="90" t="s">
        <v>25</v>
      </c>
      <c r="F46" s="216">
        <f>1195-(F40+F41)</f>
        <v>1135.82</v>
      </c>
      <c r="G46" s="217">
        <v>73.66</v>
      </c>
      <c r="H46" s="33">
        <f>ROUND(G46*1.2685*1.1138,2)</f>
        <v>104.07</v>
      </c>
      <c r="I46" s="218">
        <f>ROUND(H46*F46,2)</f>
        <v>118204.79</v>
      </c>
      <c r="K46" s="239">
        <f>I46+I55+I57+I58+I59+I60+I61+I62</f>
        <v>173141.38999999998</v>
      </c>
      <c r="L46" s="88"/>
      <c r="M46" s="88"/>
      <c r="N46" s="88"/>
      <c r="O46" s="88"/>
      <c r="P46" s="88"/>
      <c r="Q46" s="88"/>
      <c r="R46" s="88"/>
      <c r="S46" s="88"/>
      <c r="T46" s="88"/>
    </row>
    <row r="47" spans="1:20" s="14" customFormat="1" ht="25.5">
      <c r="A47" s="10"/>
      <c r="B47" s="211" t="s">
        <v>64</v>
      </c>
      <c r="C47" s="98" t="s">
        <v>261</v>
      </c>
      <c r="D47" s="158" t="s">
        <v>266</v>
      </c>
      <c r="E47" s="81" t="s">
        <v>25</v>
      </c>
      <c r="F47" s="285">
        <v>457</v>
      </c>
      <c r="G47" s="281">
        <v>8.5399999999999991</v>
      </c>
      <c r="H47" s="21">
        <f>ROUND(G47*1.2685*1.1138,2)</f>
        <v>12.07</v>
      </c>
      <c r="I47" s="282">
        <f>ROUND(H47*F47,2)</f>
        <v>5515.99</v>
      </c>
      <c r="K47" s="239"/>
      <c r="L47" s="228"/>
      <c r="M47" s="228"/>
      <c r="N47" s="228"/>
      <c r="O47" s="228"/>
      <c r="P47" s="228"/>
      <c r="Q47" s="228"/>
      <c r="R47" s="228"/>
      <c r="S47" s="228"/>
      <c r="T47" s="228"/>
    </row>
    <row r="48" spans="1:20" s="14" customFormat="1" ht="25.5">
      <c r="A48" s="10"/>
      <c r="B48" s="211" t="s">
        <v>65</v>
      </c>
      <c r="C48" s="98" t="s">
        <v>262</v>
      </c>
      <c r="D48" s="158" t="s">
        <v>263</v>
      </c>
      <c r="E48" s="81" t="s">
        <v>25</v>
      </c>
      <c r="F48" s="285">
        <f>186</f>
        <v>186</v>
      </c>
      <c r="G48" s="281">
        <v>74.42</v>
      </c>
      <c r="H48" s="21">
        <f>ROUND(G48*1.2685*1.1138,2)</f>
        <v>105.14</v>
      </c>
      <c r="I48" s="282">
        <f>ROUND(H48*F48,2)</f>
        <v>19556.04</v>
      </c>
      <c r="K48" s="239"/>
      <c r="L48" s="228"/>
      <c r="M48" s="228"/>
      <c r="N48" s="228"/>
      <c r="O48" s="228"/>
      <c r="P48" s="228"/>
      <c r="Q48" s="228"/>
      <c r="R48" s="228"/>
      <c r="S48" s="228"/>
      <c r="T48" s="228"/>
    </row>
    <row r="49" spans="1:20" s="82" customFormat="1" ht="38.25">
      <c r="A49" s="11"/>
      <c r="B49" s="211" t="s">
        <v>67</v>
      </c>
      <c r="C49" s="81" t="s">
        <v>28</v>
      </c>
      <c r="D49" s="143" t="s">
        <v>71</v>
      </c>
      <c r="E49" s="212" t="s">
        <v>26</v>
      </c>
      <c r="F49" s="219">
        <v>4</v>
      </c>
      <c r="G49" s="220">
        <v>350</v>
      </c>
      <c r="H49" s="21">
        <f t="shared" ref="H49" si="8">ROUND(G49*1.2685,2)</f>
        <v>443.98</v>
      </c>
      <c r="I49" s="21">
        <f t="shared" ref="I49:I53" si="9">ROUND(F49*H49,2)</f>
        <v>1775.92</v>
      </c>
      <c r="J49" s="99"/>
      <c r="K49" s="24">
        <f>K46/I64</f>
        <v>0.65859025843507213</v>
      </c>
      <c r="L49" s="24"/>
      <c r="M49" s="24"/>
      <c r="N49" s="24"/>
      <c r="O49" s="24"/>
      <c r="P49" s="24"/>
      <c r="Q49" s="24"/>
      <c r="R49" s="24"/>
      <c r="S49" s="24"/>
      <c r="T49" s="24"/>
    </row>
    <row r="50" spans="1:20" s="82" customFormat="1" ht="38.25">
      <c r="A50" s="11"/>
      <c r="B50" s="211" t="s">
        <v>169</v>
      </c>
      <c r="C50" s="81" t="s">
        <v>72</v>
      </c>
      <c r="D50" s="143" t="s">
        <v>73</v>
      </c>
      <c r="E50" s="212" t="s">
        <v>26</v>
      </c>
      <c r="F50" s="219">
        <v>6</v>
      </c>
      <c r="G50" s="220">
        <v>109.16</v>
      </c>
      <c r="H50" s="21">
        <f>ROUND(G50*1.2685*1.1138,2)</f>
        <v>154.22999999999999</v>
      </c>
      <c r="I50" s="21">
        <f t="shared" si="9"/>
        <v>925.38</v>
      </c>
      <c r="J50" s="99"/>
      <c r="K50" s="24">
        <f>1-K49</f>
        <v>0.34140974156492787</v>
      </c>
      <c r="L50" s="24"/>
      <c r="M50" s="24"/>
      <c r="N50" s="24"/>
      <c r="O50" s="24"/>
      <c r="P50" s="24"/>
      <c r="Q50" s="24"/>
      <c r="R50" s="24"/>
      <c r="S50" s="24"/>
      <c r="T50" s="24"/>
    </row>
    <row r="51" spans="1:20" s="82" customFormat="1" ht="25.5">
      <c r="A51" s="11"/>
      <c r="B51" s="211" t="s">
        <v>170</v>
      </c>
      <c r="C51" s="81" t="s">
        <v>74</v>
      </c>
      <c r="D51" s="143" t="s">
        <v>75</v>
      </c>
      <c r="E51" s="212" t="s">
        <v>26</v>
      </c>
      <c r="F51" s="219">
        <v>5</v>
      </c>
      <c r="G51" s="220">
        <v>336.95</v>
      </c>
      <c r="H51" s="21">
        <f>ROUND(G51*1.2685*1.1138,2)</f>
        <v>476.06</v>
      </c>
      <c r="I51" s="21">
        <f t="shared" si="9"/>
        <v>2380.3000000000002</v>
      </c>
      <c r="J51" s="99"/>
      <c r="K51" s="24"/>
      <c r="L51" s="24"/>
      <c r="M51" s="24"/>
      <c r="N51" s="24"/>
      <c r="O51" s="24"/>
      <c r="P51" s="24"/>
      <c r="Q51" s="24"/>
      <c r="R51" s="24"/>
      <c r="S51" s="24"/>
      <c r="T51" s="24"/>
    </row>
    <row r="52" spans="1:20" s="82" customFormat="1" ht="25.5">
      <c r="A52" s="11"/>
      <c r="B52" s="211" t="s">
        <v>171</v>
      </c>
      <c r="C52" s="81" t="s">
        <v>76</v>
      </c>
      <c r="D52" s="143" t="s">
        <v>77</v>
      </c>
      <c r="E52" s="212" t="s">
        <v>80</v>
      </c>
      <c r="F52" s="219">
        <v>1</v>
      </c>
      <c r="G52" s="220">
        <v>124.9</v>
      </c>
      <c r="H52" s="21">
        <f t="shared" ref="H52:H53" si="10">ROUND(G52*1.2685*1.1138,2)</f>
        <v>176.47</v>
      </c>
      <c r="I52" s="21">
        <f t="shared" si="9"/>
        <v>176.47</v>
      </c>
      <c r="J52" s="99"/>
      <c r="K52" s="24"/>
      <c r="L52" s="24"/>
      <c r="M52" s="24"/>
      <c r="N52" s="24"/>
      <c r="O52" s="24"/>
      <c r="P52" s="24"/>
      <c r="Q52" s="24"/>
      <c r="R52" s="24"/>
      <c r="S52" s="24"/>
      <c r="T52" s="24"/>
    </row>
    <row r="53" spans="1:20" s="82" customFormat="1" ht="38.25">
      <c r="A53" s="11"/>
      <c r="B53" s="211" t="s">
        <v>172</v>
      </c>
      <c r="C53" s="81" t="s">
        <v>79</v>
      </c>
      <c r="D53" s="143" t="s">
        <v>78</v>
      </c>
      <c r="E53" s="212" t="s">
        <v>80</v>
      </c>
      <c r="F53" s="219">
        <v>1</v>
      </c>
      <c r="G53" s="220">
        <v>3125.11</v>
      </c>
      <c r="H53" s="21">
        <f t="shared" si="10"/>
        <v>4415.33</v>
      </c>
      <c r="I53" s="21">
        <f t="shared" si="9"/>
        <v>4415.33</v>
      </c>
      <c r="J53" s="99"/>
      <c r="K53" s="24"/>
      <c r="L53" s="24"/>
      <c r="M53" s="24"/>
      <c r="N53" s="24"/>
      <c r="O53" s="24"/>
      <c r="P53" s="24"/>
      <c r="Q53" s="24"/>
      <c r="R53" s="24"/>
      <c r="S53" s="24"/>
      <c r="T53" s="24"/>
    </row>
    <row r="54" spans="1:20" s="131" customFormat="1" ht="127.5">
      <c r="A54" s="64"/>
      <c r="B54" s="211" t="s">
        <v>173</v>
      </c>
      <c r="C54" s="81" t="s">
        <v>195</v>
      </c>
      <c r="D54" s="143" t="s">
        <v>135</v>
      </c>
      <c r="E54" s="212" t="s">
        <v>26</v>
      </c>
      <c r="F54" s="219">
        <f>3</f>
        <v>3</v>
      </c>
      <c r="G54" s="220">
        <f>Composição!G9</f>
        <v>892.3383080000001</v>
      </c>
      <c r="H54" s="21">
        <f>ROUND(G54*1.2685*1.1138,2)</f>
        <v>1260.74</v>
      </c>
      <c r="I54" s="21">
        <f>ROUND(H54*F54,2)</f>
        <v>3782.22</v>
      </c>
      <c r="M54" s="132"/>
      <c r="N54" s="132"/>
      <c r="O54" s="132"/>
      <c r="P54" s="132"/>
      <c r="Q54" s="132"/>
      <c r="R54" s="132"/>
      <c r="S54" s="132"/>
      <c r="T54" s="132"/>
    </row>
    <row r="55" spans="1:20" s="131" customFormat="1" ht="51">
      <c r="A55" s="64"/>
      <c r="B55" s="211" t="s">
        <v>174</v>
      </c>
      <c r="C55" s="81" t="s">
        <v>129</v>
      </c>
      <c r="D55" s="221" t="s">
        <v>284</v>
      </c>
      <c r="E55" s="212" t="s">
        <v>81</v>
      </c>
      <c r="F55" s="219">
        <f>((563+24.75+870)*0.05)+(338*0.15*0.03)</f>
        <v>74.408500000000004</v>
      </c>
      <c r="G55" s="220">
        <v>60.33</v>
      </c>
      <c r="H55" s="21">
        <f>ROUND(G55*1.2685*1.1138,2)</f>
        <v>85.24</v>
      </c>
      <c r="I55" s="21">
        <f>ROUND(H55*F55,2)</f>
        <v>6342.58</v>
      </c>
      <c r="M55" s="132"/>
      <c r="N55" s="132"/>
      <c r="O55" s="132"/>
      <c r="P55" s="132"/>
      <c r="Q55" s="132"/>
      <c r="R55" s="132"/>
      <c r="S55" s="132"/>
      <c r="T55" s="132"/>
    </row>
    <row r="56" spans="1:20" s="131" customFormat="1" ht="51">
      <c r="A56" s="64"/>
      <c r="B56" s="211" t="s">
        <v>175</v>
      </c>
      <c r="C56" s="81" t="s">
        <v>28</v>
      </c>
      <c r="D56" s="143" t="s">
        <v>138</v>
      </c>
      <c r="E56" s="212" t="s">
        <v>26</v>
      </c>
      <c r="F56" s="219">
        <v>8</v>
      </c>
      <c r="G56" s="220">
        <f>3600+(1430/8)</f>
        <v>3778.75</v>
      </c>
      <c r="H56" s="21">
        <f>ROUND(G56*1.2685,2)</f>
        <v>4793.34</v>
      </c>
      <c r="I56" s="21">
        <f>ROUND(H56*F56,2)</f>
        <v>38346.720000000001</v>
      </c>
      <c r="M56" s="132"/>
      <c r="N56" s="132"/>
      <c r="O56" s="132"/>
      <c r="P56" s="132"/>
      <c r="Q56" s="132"/>
      <c r="R56" s="132"/>
      <c r="S56" s="132"/>
      <c r="T56" s="132"/>
    </row>
    <row r="57" spans="1:20" s="131" customFormat="1">
      <c r="A57" s="64"/>
      <c r="B57" s="211" t="s">
        <v>176</v>
      </c>
      <c r="C57" s="222" t="s">
        <v>139</v>
      </c>
      <c r="D57" s="143" t="s">
        <v>283</v>
      </c>
      <c r="E57" s="223" t="s">
        <v>25</v>
      </c>
      <c r="F57" s="219">
        <v>2239</v>
      </c>
      <c r="G57" s="220">
        <v>12.99</v>
      </c>
      <c r="H57" s="21">
        <f t="shared" ref="H57:H58" si="11">ROUND(G57*1.2685,2)</f>
        <v>16.48</v>
      </c>
      <c r="I57" s="21">
        <f t="shared" ref="I57:I59" si="12">ROUND(F57*H57,2)</f>
        <v>36898.720000000001</v>
      </c>
      <c r="J57" s="99"/>
      <c r="K57" s="132"/>
      <c r="L57" s="132"/>
      <c r="M57" s="132"/>
      <c r="N57" s="132"/>
      <c r="O57" s="132"/>
      <c r="P57" s="132"/>
      <c r="Q57" s="132"/>
      <c r="R57" s="132"/>
      <c r="S57" s="132"/>
      <c r="T57" s="132"/>
    </row>
    <row r="58" spans="1:20" s="131" customFormat="1">
      <c r="A58" s="64"/>
      <c r="B58" s="211" t="s">
        <v>177</v>
      </c>
      <c r="C58" s="222" t="s">
        <v>28</v>
      </c>
      <c r="D58" s="143" t="s">
        <v>278</v>
      </c>
      <c r="E58" s="223" t="s">
        <v>81</v>
      </c>
      <c r="F58" s="219">
        <f>356.6*0.1</f>
        <v>35.660000000000004</v>
      </c>
      <c r="G58" s="220">
        <v>115</v>
      </c>
      <c r="H58" s="21">
        <f t="shared" si="11"/>
        <v>145.88</v>
      </c>
      <c r="I58" s="21">
        <f t="shared" si="12"/>
        <v>5202.08</v>
      </c>
      <c r="J58" s="99"/>
      <c r="K58" s="132"/>
      <c r="L58" s="132"/>
      <c r="M58" s="132"/>
      <c r="N58" s="132"/>
      <c r="O58" s="132"/>
      <c r="P58" s="132"/>
      <c r="Q58" s="132"/>
      <c r="R58" s="132"/>
      <c r="S58" s="132"/>
      <c r="T58" s="132"/>
    </row>
    <row r="59" spans="1:20" s="131" customFormat="1" ht="25.5">
      <c r="A59" s="64"/>
      <c r="B59" s="211" t="s">
        <v>178</v>
      </c>
      <c r="C59" s="212" t="s">
        <v>180</v>
      </c>
      <c r="D59" s="143" t="s">
        <v>181</v>
      </c>
      <c r="E59" s="111" t="s">
        <v>41</v>
      </c>
      <c r="F59" s="22">
        <v>220</v>
      </c>
      <c r="G59" s="21">
        <v>18.86</v>
      </c>
      <c r="H59" s="21">
        <f>ROUND(G59*1.2685*1.1138,2)</f>
        <v>26.65</v>
      </c>
      <c r="I59" s="21">
        <f t="shared" si="12"/>
        <v>5863</v>
      </c>
      <c r="K59" s="132"/>
      <c r="L59" s="132"/>
      <c r="M59" s="132"/>
      <c r="N59" s="132"/>
      <c r="O59" s="132"/>
      <c r="P59" s="132"/>
      <c r="Q59" s="132"/>
      <c r="R59" s="132"/>
      <c r="S59" s="132"/>
      <c r="T59" s="132"/>
    </row>
    <row r="60" spans="1:20" s="141" customFormat="1" ht="25.5">
      <c r="A60" s="64"/>
      <c r="B60" s="211" t="s">
        <v>179</v>
      </c>
      <c r="C60" s="212" t="s">
        <v>140</v>
      </c>
      <c r="D60" s="143" t="s">
        <v>279</v>
      </c>
      <c r="E60" s="111" t="s">
        <v>26</v>
      </c>
      <c r="F60" s="22">
        <f>25*0.58*14</f>
        <v>202.99999999999997</v>
      </c>
      <c r="G60" s="21">
        <v>0.44</v>
      </c>
      <c r="H60" s="21">
        <f>ROUND(G60*1.2685*1.1138,2)</f>
        <v>0.62</v>
      </c>
      <c r="I60" s="21">
        <f t="shared" ref="I60" si="13">ROUND(F60*H60,2)</f>
        <v>125.86</v>
      </c>
      <c r="K60" s="142"/>
      <c r="L60" s="142"/>
      <c r="M60" s="142"/>
      <c r="N60" s="142"/>
      <c r="O60" s="142"/>
      <c r="P60" s="142"/>
      <c r="Q60" s="142"/>
      <c r="R60" s="142"/>
      <c r="S60" s="142"/>
      <c r="T60" s="142"/>
    </row>
    <row r="61" spans="1:20" s="141" customFormat="1" ht="25.5">
      <c r="A61" s="64"/>
      <c r="B61" s="211" t="s">
        <v>199</v>
      </c>
      <c r="C61" s="212" t="s">
        <v>182</v>
      </c>
      <c r="D61" s="143" t="s">
        <v>280</v>
      </c>
      <c r="E61" s="111" t="s">
        <v>26</v>
      </c>
      <c r="F61" s="22">
        <v>14</v>
      </c>
      <c r="G61" s="21">
        <v>13.82</v>
      </c>
      <c r="H61" s="21">
        <f>ROUND(G61*1.2685*1.1138,2)</f>
        <v>19.53</v>
      </c>
      <c r="I61" s="21">
        <f t="shared" ref="I61" si="14">ROUND(F61*H61,2)</f>
        <v>273.42</v>
      </c>
      <c r="K61" s="142"/>
      <c r="L61" s="193"/>
      <c r="M61" s="142"/>
      <c r="N61" s="142"/>
      <c r="O61" s="142"/>
      <c r="P61" s="142"/>
      <c r="Q61" s="142"/>
      <c r="R61" s="142"/>
      <c r="S61" s="142"/>
      <c r="T61" s="142"/>
    </row>
    <row r="62" spans="1:20" s="171" customFormat="1" ht="25.5">
      <c r="A62" s="64"/>
      <c r="B62" s="211" t="s">
        <v>264</v>
      </c>
      <c r="C62" s="212" t="s">
        <v>161</v>
      </c>
      <c r="D62" s="143" t="s">
        <v>281</v>
      </c>
      <c r="E62" s="111" t="s">
        <v>26</v>
      </c>
      <c r="F62" s="22">
        <f>6*3</f>
        <v>18</v>
      </c>
      <c r="G62" s="21">
        <v>9.08</v>
      </c>
      <c r="H62" s="21">
        <f>ROUND(G62*1.2685*1.1138,2)</f>
        <v>12.83</v>
      </c>
      <c r="I62" s="21">
        <f t="shared" ref="I62" si="15">ROUND(F62*H62,2)</f>
        <v>230.94</v>
      </c>
      <c r="K62" s="169"/>
      <c r="L62" s="169"/>
      <c r="M62" s="169"/>
      <c r="N62" s="169"/>
      <c r="O62" s="169"/>
      <c r="P62" s="169"/>
      <c r="Q62" s="169"/>
      <c r="R62" s="169"/>
      <c r="S62" s="169"/>
      <c r="T62" s="169"/>
    </row>
    <row r="63" spans="1:20" s="194" customFormat="1" ht="25.5">
      <c r="A63" s="64"/>
      <c r="B63" s="286" t="s">
        <v>265</v>
      </c>
      <c r="C63" s="213" t="s">
        <v>200</v>
      </c>
      <c r="D63" s="145" t="s">
        <v>282</v>
      </c>
      <c r="E63" s="35" t="s">
        <v>25</v>
      </c>
      <c r="F63" s="38">
        <f>638</f>
        <v>638</v>
      </c>
      <c r="G63" s="36">
        <v>15.03</v>
      </c>
      <c r="H63" s="36">
        <f>ROUND(G63*1.2685*1.0589,2)</f>
        <v>20.190000000000001</v>
      </c>
      <c r="I63" s="36">
        <f t="shared" ref="I63" si="16">ROUND(F63*H63,2)</f>
        <v>12881.22</v>
      </c>
      <c r="K63" s="169"/>
      <c r="L63" s="169"/>
      <c r="M63" s="169"/>
      <c r="N63" s="169"/>
      <c r="O63" s="169"/>
      <c r="P63" s="169"/>
      <c r="Q63" s="169"/>
      <c r="R63" s="169"/>
      <c r="S63" s="169"/>
      <c r="T63" s="169"/>
    </row>
    <row r="64" spans="1:20" s="131" customFormat="1" ht="15" customHeight="1">
      <c r="A64" s="64"/>
      <c r="B64" s="289" t="s">
        <v>153</v>
      </c>
      <c r="C64" s="290"/>
      <c r="D64" s="290"/>
      <c r="E64" s="290"/>
      <c r="F64" s="290"/>
      <c r="G64" s="290"/>
      <c r="H64" s="291"/>
      <c r="I64" s="93">
        <f>ROUND(SUM(I46:I63),2)</f>
        <v>262896.98</v>
      </c>
      <c r="K64" s="87"/>
      <c r="L64" s="87"/>
      <c r="M64" s="87"/>
      <c r="N64" s="87"/>
      <c r="O64" s="132"/>
      <c r="P64" s="132"/>
      <c r="Q64" s="132"/>
      <c r="R64" s="132"/>
      <c r="S64" s="132"/>
      <c r="T64" s="132"/>
    </row>
    <row r="65" spans="1:20" s="82" customFormat="1">
      <c r="A65" s="64"/>
      <c r="B65" s="76" t="s">
        <v>142</v>
      </c>
      <c r="C65" s="77"/>
      <c r="D65" s="78" t="s">
        <v>62</v>
      </c>
      <c r="E65" s="79"/>
      <c r="F65" s="79"/>
      <c r="G65" s="79"/>
      <c r="H65" s="79"/>
      <c r="I65" s="80"/>
      <c r="K65" s="24"/>
      <c r="L65" s="24"/>
      <c r="M65" s="24"/>
      <c r="N65" s="24"/>
      <c r="O65" s="24"/>
      <c r="P65" s="24"/>
      <c r="Q65" s="24"/>
      <c r="R65" s="24"/>
      <c r="S65" s="24"/>
      <c r="T65" s="24"/>
    </row>
    <row r="66" spans="1:20" s="83" customFormat="1">
      <c r="A66" s="64"/>
      <c r="B66" s="181" t="s">
        <v>143</v>
      </c>
      <c r="C66" s="89" t="s">
        <v>243</v>
      </c>
      <c r="D66" s="144" t="s">
        <v>242</v>
      </c>
      <c r="E66" s="184" t="s">
        <v>81</v>
      </c>
      <c r="F66" s="39">
        <f>(F70*0.6*1.5)+(F71*0.8*1.5)</f>
        <v>300.75000000000006</v>
      </c>
      <c r="G66" s="108">
        <v>10.35</v>
      </c>
      <c r="H66" s="33">
        <f>ROUND(G66*1.2685*1.0589,2)</f>
        <v>13.9</v>
      </c>
      <c r="I66" s="33">
        <f t="shared" ref="I66" si="17">ROUND(F66*H66,2)</f>
        <v>4180.43</v>
      </c>
      <c r="J66" s="109"/>
      <c r="K66" s="110"/>
      <c r="L66" s="86"/>
      <c r="M66" s="86"/>
      <c r="N66" s="86"/>
      <c r="O66" s="86"/>
      <c r="P66" s="86"/>
      <c r="Q66" s="86"/>
      <c r="R66" s="86"/>
      <c r="S66" s="86"/>
      <c r="T66" s="86"/>
    </row>
    <row r="67" spans="1:20" s="83" customFormat="1">
      <c r="A67" s="64"/>
      <c r="B67" s="185" t="s">
        <v>144</v>
      </c>
      <c r="C67" s="98" t="s">
        <v>240</v>
      </c>
      <c r="D67" s="143" t="s">
        <v>241</v>
      </c>
      <c r="E67" s="111" t="s">
        <v>81</v>
      </c>
      <c r="F67" s="22">
        <f>(F68+F69)*0.3*1</f>
        <v>53.4</v>
      </c>
      <c r="G67" s="21">
        <v>7.04</v>
      </c>
      <c r="H67" s="21">
        <f>ROUND(G67*1.2685*1.0589,2)</f>
        <v>9.4600000000000009</v>
      </c>
      <c r="I67" s="21">
        <f>ROUND(F67*H67,2)</f>
        <v>505.16</v>
      </c>
      <c r="J67" s="112"/>
      <c r="K67" s="110"/>
      <c r="L67" s="86"/>
      <c r="M67" s="86"/>
      <c r="N67" s="86"/>
      <c r="O67" s="86"/>
      <c r="P67" s="86"/>
      <c r="Q67" s="86"/>
      <c r="R67" s="86"/>
      <c r="S67" s="86"/>
      <c r="T67" s="86"/>
    </row>
    <row r="68" spans="1:20" s="14" customFormat="1" ht="38.25">
      <c r="A68" s="13"/>
      <c r="B68" s="185" t="s">
        <v>145</v>
      </c>
      <c r="C68" s="98" t="s">
        <v>66</v>
      </c>
      <c r="D68" s="158" t="s">
        <v>207</v>
      </c>
      <c r="E68" s="98" t="s">
        <v>41</v>
      </c>
      <c r="F68" s="102">
        <v>116</v>
      </c>
      <c r="G68" s="102">
        <f>9.73</f>
        <v>9.73</v>
      </c>
      <c r="H68" s="102">
        <f t="shared" ref="H68:H73" si="18">ROUND(G68*1.2685*1.1138,2)</f>
        <v>13.75</v>
      </c>
      <c r="I68" s="102">
        <f>ROUND(H68*F68,2)</f>
        <v>1595</v>
      </c>
      <c r="K68" s="88"/>
      <c r="L68" s="88"/>
      <c r="M68" s="88"/>
      <c r="N68" s="88"/>
      <c r="O68" s="88"/>
      <c r="P68" s="88"/>
      <c r="Q68" s="88"/>
      <c r="R68" s="88"/>
      <c r="S68" s="88"/>
      <c r="T68" s="88"/>
    </row>
    <row r="69" spans="1:20" s="14" customFormat="1" ht="38.25">
      <c r="A69" s="13"/>
      <c r="B69" s="185" t="s">
        <v>146</v>
      </c>
      <c r="C69" s="98" t="s">
        <v>68</v>
      </c>
      <c r="D69" s="158" t="s">
        <v>206</v>
      </c>
      <c r="E69" s="98" t="s">
        <v>41</v>
      </c>
      <c r="F69" s="102">
        <f>53+9</f>
        <v>62</v>
      </c>
      <c r="G69" s="102">
        <v>32.96</v>
      </c>
      <c r="H69" s="102">
        <f t="shared" si="18"/>
        <v>46.57</v>
      </c>
      <c r="I69" s="102">
        <f t="shared" ref="I69:I71" si="19">ROUND(H69*F69,2)</f>
        <v>2887.34</v>
      </c>
      <c r="K69" s="113">
        <f>SUM(F66:F67)</f>
        <v>354.15000000000003</v>
      </c>
      <c r="L69" s="88"/>
      <c r="M69" s="88"/>
      <c r="N69" s="88"/>
      <c r="O69" s="88"/>
      <c r="P69" s="88"/>
      <c r="Q69" s="88"/>
      <c r="R69" s="88"/>
      <c r="S69" s="88"/>
      <c r="T69" s="88"/>
    </row>
    <row r="70" spans="1:20" s="14" customFormat="1" ht="25.5">
      <c r="A70" s="13"/>
      <c r="B70" s="185" t="s">
        <v>147</v>
      </c>
      <c r="C70" s="98" t="s">
        <v>69</v>
      </c>
      <c r="D70" s="158" t="s">
        <v>205</v>
      </c>
      <c r="E70" s="98" t="s">
        <v>41</v>
      </c>
      <c r="F70" s="102">
        <f>25+6.5</f>
        <v>31.5</v>
      </c>
      <c r="G70" s="102">
        <v>49.75</v>
      </c>
      <c r="H70" s="102">
        <f t="shared" si="18"/>
        <v>70.290000000000006</v>
      </c>
      <c r="I70" s="102">
        <f t="shared" si="19"/>
        <v>2214.14</v>
      </c>
      <c r="K70" s="88"/>
      <c r="L70" s="88"/>
      <c r="M70" s="88"/>
      <c r="N70" s="88"/>
      <c r="O70" s="88"/>
      <c r="P70" s="88"/>
      <c r="Q70" s="88"/>
      <c r="R70" s="88"/>
      <c r="S70" s="88"/>
      <c r="T70" s="88"/>
    </row>
    <row r="71" spans="1:20" s="14" customFormat="1" ht="25.5">
      <c r="A71" s="13"/>
      <c r="B71" s="185" t="s">
        <v>148</v>
      </c>
      <c r="C71" s="98" t="s">
        <v>70</v>
      </c>
      <c r="D71" s="158" t="s">
        <v>82</v>
      </c>
      <c r="E71" s="98" t="s">
        <v>41</v>
      </c>
      <c r="F71" s="102">
        <v>227</v>
      </c>
      <c r="G71" s="102">
        <v>57.29</v>
      </c>
      <c r="H71" s="102">
        <f t="shared" si="18"/>
        <v>80.94</v>
      </c>
      <c r="I71" s="102">
        <f t="shared" si="19"/>
        <v>18373.38</v>
      </c>
      <c r="K71" s="88"/>
      <c r="L71" s="88"/>
      <c r="M71" s="88"/>
      <c r="N71" s="88"/>
      <c r="O71" s="88"/>
      <c r="P71" s="88"/>
      <c r="Q71" s="88"/>
      <c r="R71" s="88"/>
      <c r="S71" s="88"/>
      <c r="T71" s="88"/>
    </row>
    <row r="72" spans="1:20" s="82" customFormat="1" ht="51">
      <c r="A72" s="64"/>
      <c r="B72" s="185" t="s">
        <v>149</v>
      </c>
      <c r="C72" s="123" t="s">
        <v>89</v>
      </c>
      <c r="D72" s="143" t="s">
        <v>208</v>
      </c>
      <c r="E72" s="81" t="s">
        <v>26</v>
      </c>
      <c r="F72" s="102">
        <v>11</v>
      </c>
      <c r="G72" s="186">
        <v>981.04</v>
      </c>
      <c r="H72" s="102">
        <f t="shared" si="18"/>
        <v>1386.07</v>
      </c>
      <c r="I72" s="102">
        <f t="shared" ref="I72" si="20">ROUND(H72*F72,2)</f>
        <v>15246.77</v>
      </c>
      <c r="K72" s="24"/>
      <c r="L72" s="370"/>
      <c r="M72" s="24"/>
      <c r="N72" s="24"/>
      <c r="O72" s="24"/>
      <c r="P72" s="24"/>
      <c r="Q72" s="24"/>
      <c r="R72" s="24"/>
      <c r="S72" s="24"/>
      <c r="T72" s="24"/>
    </row>
    <row r="73" spans="1:20" s="83" customFormat="1" ht="51">
      <c r="A73" s="64"/>
      <c r="B73" s="185" t="s">
        <v>150</v>
      </c>
      <c r="C73" s="123" t="s">
        <v>88</v>
      </c>
      <c r="D73" s="143" t="s">
        <v>196</v>
      </c>
      <c r="E73" s="81" t="s">
        <v>26</v>
      </c>
      <c r="F73" s="186">
        <v>10</v>
      </c>
      <c r="G73" s="224">
        <v>272.93</v>
      </c>
      <c r="H73" s="102">
        <f t="shared" si="18"/>
        <v>385.61</v>
      </c>
      <c r="I73" s="102">
        <f t="shared" ref="I73:I74" si="21">ROUND(H73*F73,2)</f>
        <v>3856.1</v>
      </c>
      <c r="K73" s="86"/>
      <c r="L73" s="86"/>
      <c r="M73" s="86"/>
      <c r="N73" s="86"/>
      <c r="O73" s="86"/>
      <c r="P73" s="86"/>
      <c r="Q73" s="86"/>
      <c r="R73" s="86"/>
      <c r="S73" s="86"/>
      <c r="T73" s="86"/>
    </row>
    <row r="74" spans="1:20" s="194" customFormat="1" ht="25.5">
      <c r="A74" s="64"/>
      <c r="B74" s="185" t="s">
        <v>201</v>
      </c>
      <c r="C74" s="123" t="s">
        <v>28</v>
      </c>
      <c r="D74" s="143" t="s">
        <v>219</v>
      </c>
      <c r="E74" s="81" t="s">
        <v>26</v>
      </c>
      <c r="F74" s="186">
        <v>1</v>
      </c>
      <c r="G74" s="224">
        <v>2000</v>
      </c>
      <c r="H74" s="102">
        <f>ROUND(G74*1.2685,2)</f>
        <v>2537</v>
      </c>
      <c r="I74" s="102">
        <f t="shared" si="21"/>
        <v>2537</v>
      </c>
      <c r="K74" s="169"/>
      <c r="L74" s="169"/>
      <c r="M74" s="169"/>
      <c r="N74" s="169"/>
      <c r="O74" s="169"/>
      <c r="P74" s="169"/>
      <c r="Q74" s="169"/>
      <c r="R74" s="169"/>
      <c r="S74" s="169"/>
      <c r="T74" s="169"/>
    </row>
    <row r="75" spans="1:20" s="194" customFormat="1" ht="63.75">
      <c r="A75" s="64"/>
      <c r="B75" s="195" t="s">
        <v>202</v>
      </c>
      <c r="C75" s="196" t="s">
        <v>203</v>
      </c>
      <c r="D75" s="145" t="s">
        <v>204</v>
      </c>
      <c r="E75" s="91" t="s">
        <v>81</v>
      </c>
      <c r="F75" s="197">
        <f>89.9*0.4*0.5</f>
        <v>17.98</v>
      </c>
      <c r="G75" s="198">
        <v>101.7</v>
      </c>
      <c r="H75" s="287">
        <f>ROUND(G75*1.2685,2)</f>
        <v>129.01</v>
      </c>
      <c r="I75" s="287">
        <f t="shared" ref="I75" si="22">ROUND(H75*F75,2)</f>
        <v>2319.6</v>
      </c>
      <c r="K75" s="169"/>
      <c r="L75" s="169"/>
      <c r="M75" s="169"/>
      <c r="N75" s="169"/>
      <c r="O75" s="169"/>
      <c r="P75" s="169"/>
      <c r="Q75" s="169"/>
      <c r="R75" s="169"/>
      <c r="S75" s="169"/>
      <c r="T75" s="169"/>
    </row>
    <row r="76" spans="1:20" s="82" customFormat="1" ht="15" customHeight="1">
      <c r="A76" s="64"/>
      <c r="B76" s="289" t="s">
        <v>154</v>
      </c>
      <c r="C76" s="290"/>
      <c r="D76" s="290"/>
      <c r="E76" s="290"/>
      <c r="F76" s="290"/>
      <c r="G76" s="290"/>
      <c r="H76" s="291"/>
      <c r="I76" s="93">
        <f>ROUND(SUM(I66:I75),2)</f>
        <v>53714.92</v>
      </c>
      <c r="K76" s="87"/>
      <c r="L76" s="87"/>
      <c r="M76" s="87"/>
      <c r="N76" s="87"/>
      <c r="O76" s="24"/>
      <c r="P76" s="24"/>
      <c r="Q76" s="24"/>
      <c r="R76" s="24"/>
      <c r="S76" s="24"/>
      <c r="T76" s="24"/>
    </row>
    <row r="77" spans="1:20" s="225" customFormat="1">
      <c r="A77" s="64"/>
      <c r="B77" s="76" t="s">
        <v>210</v>
      </c>
      <c r="C77" s="76"/>
      <c r="D77" s="76" t="s">
        <v>209</v>
      </c>
      <c r="E77" s="79"/>
      <c r="F77" s="79"/>
      <c r="G77" s="79"/>
      <c r="H77" s="79"/>
      <c r="I77" s="80"/>
      <c r="K77" s="169"/>
      <c r="L77" s="169"/>
      <c r="M77" s="169"/>
      <c r="N77" s="169"/>
      <c r="O77" s="169"/>
      <c r="P77" s="169"/>
      <c r="Q77" s="169"/>
      <c r="R77" s="169"/>
      <c r="S77" s="169"/>
      <c r="T77" s="169"/>
    </row>
    <row r="78" spans="1:20" s="225" customFormat="1">
      <c r="A78" s="64"/>
      <c r="B78" s="195" t="s">
        <v>211</v>
      </c>
      <c r="C78" s="196" t="s">
        <v>212</v>
      </c>
      <c r="D78" s="145" t="s">
        <v>215</v>
      </c>
      <c r="E78" s="91" t="s">
        <v>25</v>
      </c>
      <c r="F78" s="197">
        <f>4670-908</f>
        <v>3762</v>
      </c>
      <c r="G78" s="198">
        <v>1.5</v>
      </c>
      <c r="H78" s="102">
        <f>ROUND(G78*1.2685,2)</f>
        <v>1.9</v>
      </c>
      <c r="I78" s="102">
        <f>ROUND(H78*F78,2)</f>
        <v>7147.8</v>
      </c>
      <c r="M78" s="169"/>
      <c r="N78" s="169"/>
      <c r="O78" s="169"/>
      <c r="P78" s="169"/>
      <c r="Q78" s="169"/>
      <c r="R78" s="169"/>
      <c r="S78" s="169"/>
      <c r="T78" s="169"/>
    </row>
    <row r="79" spans="1:20" s="227" customFormat="1" ht="15" customHeight="1">
      <c r="A79" s="64"/>
      <c r="B79" s="289" t="s">
        <v>238</v>
      </c>
      <c r="C79" s="290"/>
      <c r="D79" s="290"/>
      <c r="E79" s="290"/>
      <c r="F79" s="290"/>
      <c r="G79" s="290"/>
      <c r="H79" s="291"/>
      <c r="I79" s="93">
        <f>ROUND(I78,2)</f>
        <v>7147.8</v>
      </c>
      <c r="K79" s="87"/>
      <c r="L79" s="87"/>
      <c r="M79" s="87"/>
      <c r="N79" s="87"/>
      <c r="O79" s="169"/>
      <c r="P79" s="169"/>
      <c r="Q79" s="169"/>
      <c r="R79" s="169"/>
      <c r="S79" s="169"/>
      <c r="T79" s="169"/>
    </row>
    <row r="80" spans="1:20" s="227" customFormat="1">
      <c r="A80" s="64"/>
      <c r="B80" s="76" t="s">
        <v>231</v>
      </c>
      <c r="C80" s="76"/>
      <c r="D80" s="76" t="s">
        <v>236</v>
      </c>
      <c r="E80" s="79"/>
      <c r="F80" s="79"/>
      <c r="G80" s="79"/>
      <c r="H80" s="79"/>
      <c r="I80" s="80"/>
      <c r="K80" s="169"/>
      <c r="L80" s="169"/>
      <c r="M80" s="169"/>
      <c r="N80" s="169"/>
      <c r="O80" s="169"/>
      <c r="P80" s="169"/>
      <c r="Q80" s="169"/>
      <c r="R80" s="169"/>
      <c r="S80" s="169"/>
      <c r="T80" s="169"/>
    </row>
    <row r="81" spans="1:20" s="227" customFormat="1">
      <c r="A81" s="64"/>
      <c r="B81" s="195" t="s">
        <v>237</v>
      </c>
      <c r="C81" s="196" t="s">
        <v>28</v>
      </c>
      <c r="D81" s="145" t="s">
        <v>256</v>
      </c>
      <c r="E81" s="91" t="s">
        <v>26</v>
      </c>
      <c r="F81" s="197">
        <v>1</v>
      </c>
      <c r="G81" s="198">
        <v>4000</v>
      </c>
      <c r="H81" s="102">
        <f>ROUND(G81*1.2685,2)</f>
        <v>5074</v>
      </c>
      <c r="I81" s="102">
        <f>ROUND(H81*F81,2)</f>
        <v>5074</v>
      </c>
      <c r="K81" s="169"/>
      <c r="L81" s="169"/>
      <c r="M81" s="169"/>
      <c r="N81" s="169"/>
      <c r="O81" s="169"/>
      <c r="P81" s="169"/>
      <c r="Q81" s="169"/>
      <c r="R81" s="169"/>
      <c r="S81" s="169"/>
      <c r="T81" s="169"/>
    </row>
    <row r="82" spans="1:20" s="226" customFormat="1" ht="15" customHeight="1">
      <c r="A82" s="64"/>
      <c r="B82" s="289" t="s">
        <v>239</v>
      </c>
      <c r="C82" s="290"/>
      <c r="D82" s="290"/>
      <c r="E82" s="290"/>
      <c r="F82" s="290"/>
      <c r="G82" s="290"/>
      <c r="H82" s="291"/>
      <c r="I82" s="93">
        <f>ROUND(I81,2)</f>
        <v>5074</v>
      </c>
      <c r="K82" s="87"/>
      <c r="L82" s="87"/>
      <c r="M82" s="87"/>
      <c r="N82" s="87"/>
      <c r="O82" s="169"/>
      <c r="P82" s="169"/>
      <c r="Q82" s="169"/>
      <c r="R82" s="169"/>
      <c r="S82" s="169"/>
      <c r="T82" s="169"/>
    </row>
    <row r="83" spans="1:20" s="50" customFormat="1" ht="15.75" thickBot="1">
      <c r="A83" s="64"/>
      <c r="B83" s="298" t="s">
        <v>21</v>
      </c>
      <c r="C83" s="299"/>
      <c r="D83" s="299"/>
      <c r="E83" s="299"/>
      <c r="F83" s="299"/>
      <c r="G83" s="299"/>
      <c r="H83" s="300"/>
      <c r="I83" s="43">
        <f>ROUND(SUM(I76,I64,I44,I38,I21,I17,I13,I79,I82),2)</f>
        <v>687693.59</v>
      </c>
      <c r="M83" s="24"/>
      <c r="N83" s="24"/>
      <c r="O83" s="24"/>
      <c r="P83" s="24"/>
      <c r="Q83" s="24"/>
      <c r="R83" s="24"/>
      <c r="S83" s="24"/>
      <c r="T83" s="24"/>
    </row>
    <row r="84" spans="1:20" s="50" customFormat="1">
      <c r="A84" s="64"/>
      <c r="B84" s="71"/>
      <c r="C84" s="45"/>
      <c r="D84" s="45"/>
      <c r="E84" s="45"/>
      <c r="F84" s="45"/>
      <c r="G84" s="45"/>
      <c r="H84" s="45"/>
      <c r="I84" s="56"/>
      <c r="M84" s="24"/>
      <c r="N84" s="24"/>
      <c r="O84" s="24"/>
      <c r="P84" s="24"/>
      <c r="Q84" s="24"/>
      <c r="R84" s="24"/>
      <c r="S84" s="24"/>
      <c r="T84" s="24"/>
    </row>
    <row r="85" spans="1:20" s="42" customFormat="1">
      <c r="A85" s="64"/>
      <c r="B85" s="72"/>
      <c r="C85" s="44"/>
      <c r="D85" s="44"/>
      <c r="E85" s="44"/>
      <c r="F85" s="44"/>
      <c r="G85" s="44"/>
      <c r="H85" s="44"/>
      <c r="I85" s="57"/>
      <c r="M85" s="24"/>
      <c r="N85" s="24"/>
      <c r="O85" s="24"/>
      <c r="P85" s="24"/>
      <c r="Q85" s="24"/>
      <c r="R85" s="24"/>
      <c r="S85" s="24"/>
      <c r="T85" s="24"/>
    </row>
    <row r="86" spans="1:20" s="52" customFormat="1">
      <c r="A86" s="64"/>
      <c r="B86" s="72"/>
      <c r="C86" s="44"/>
      <c r="D86" s="44"/>
      <c r="E86" s="44"/>
      <c r="F86" s="44"/>
      <c r="G86" s="44"/>
      <c r="H86" s="44"/>
      <c r="I86" s="57"/>
      <c r="M86" s="24"/>
      <c r="N86" s="24"/>
      <c r="O86" s="24"/>
      <c r="P86" s="24"/>
      <c r="Q86" s="24"/>
      <c r="R86" s="24"/>
      <c r="S86" s="24"/>
      <c r="T86" s="24"/>
    </row>
    <row r="87" spans="1:20" s="42" customFormat="1">
      <c r="A87" s="64"/>
      <c r="B87" s="72"/>
      <c r="C87" s="44"/>
      <c r="D87" s="44"/>
      <c r="E87" s="44"/>
      <c r="F87" s="44"/>
      <c r="G87" s="44"/>
      <c r="H87" s="44"/>
      <c r="I87" s="57"/>
      <c r="K87" s="24"/>
      <c r="L87" s="24"/>
      <c r="M87" s="24"/>
      <c r="N87" s="24"/>
      <c r="O87" s="24"/>
      <c r="P87" s="24"/>
      <c r="Q87" s="24"/>
      <c r="R87" s="24"/>
      <c r="S87" s="24"/>
      <c r="T87" s="24"/>
    </row>
    <row r="88" spans="1:20">
      <c r="A88" s="64"/>
      <c r="B88" s="73"/>
      <c r="C88" s="44"/>
      <c r="D88" s="293"/>
      <c r="E88" s="293"/>
      <c r="F88" s="46"/>
      <c r="G88" s="47"/>
      <c r="H88" s="48"/>
      <c r="I88" s="58"/>
      <c r="K88" s="12"/>
      <c r="L88" s="12"/>
      <c r="M88" s="12"/>
      <c r="N88" s="12"/>
      <c r="O88" s="12"/>
      <c r="P88" s="12"/>
      <c r="Q88" s="12"/>
      <c r="R88" s="12"/>
      <c r="S88" s="12"/>
      <c r="T88" s="12"/>
    </row>
    <row r="89" spans="1:20">
      <c r="A89" s="64"/>
      <c r="B89" s="292" t="s">
        <v>30</v>
      </c>
      <c r="C89" s="293"/>
      <c r="D89" s="293"/>
      <c r="E89" s="293"/>
      <c r="F89" s="293"/>
      <c r="G89" s="293"/>
      <c r="H89" s="293"/>
      <c r="I89" s="294"/>
      <c r="K89" s="169"/>
      <c r="L89" s="12"/>
      <c r="M89" s="12"/>
      <c r="N89" s="12"/>
      <c r="O89" s="12"/>
      <c r="P89" s="12"/>
      <c r="Q89" s="12"/>
      <c r="R89" s="12"/>
      <c r="S89" s="12"/>
      <c r="T89" s="12"/>
    </row>
    <row r="90" spans="1:20">
      <c r="A90" s="64"/>
      <c r="B90" s="292" t="s">
        <v>22</v>
      </c>
      <c r="C90" s="293"/>
      <c r="D90" s="293"/>
      <c r="E90" s="293"/>
      <c r="F90" s="293"/>
      <c r="G90" s="293"/>
      <c r="H90" s="293"/>
      <c r="I90" s="294"/>
      <c r="K90" s="12"/>
      <c r="L90" s="12"/>
      <c r="M90" s="12"/>
      <c r="N90" s="12"/>
      <c r="O90" s="12"/>
      <c r="P90" s="12"/>
      <c r="Q90" s="12"/>
      <c r="R90" s="12"/>
      <c r="S90" s="12"/>
      <c r="T90" s="12"/>
    </row>
    <row r="91" spans="1:20">
      <c r="A91" s="64"/>
      <c r="B91" s="295" t="s">
        <v>31</v>
      </c>
      <c r="C91" s="296"/>
      <c r="D91" s="296"/>
      <c r="E91" s="296"/>
      <c r="F91" s="296"/>
      <c r="G91" s="296"/>
      <c r="H91" s="296"/>
      <c r="I91" s="297"/>
      <c r="K91" s="12"/>
      <c r="L91" s="12"/>
      <c r="M91" s="12"/>
      <c r="N91" s="12"/>
      <c r="O91" s="12"/>
      <c r="P91" s="12"/>
      <c r="Q91" s="12"/>
      <c r="R91" s="12"/>
      <c r="S91" s="12"/>
      <c r="T91" s="12"/>
    </row>
    <row r="93" spans="1:20">
      <c r="B93" s="41"/>
      <c r="C93" s="41"/>
      <c r="D93" s="41"/>
      <c r="E93" s="41"/>
    </row>
    <row r="94" spans="1:20">
      <c r="B94" s="41"/>
      <c r="C94" s="41"/>
      <c r="D94" s="41"/>
      <c r="E94" s="41"/>
    </row>
    <row r="95" spans="1:20">
      <c r="B95" s="41"/>
      <c r="C95" s="41"/>
      <c r="D95" s="41"/>
      <c r="E95" s="41"/>
    </row>
    <row r="96" spans="1:20">
      <c r="B96" s="41"/>
      <c r="C96" s="41"/>
      <c r="D96" s="41"/>
      <c r="E96" s="41"/>
    </row>
    <row r="97" spans="2:8">
      <c r="B97" s="41"/>
      <c r="C97" s="41"/>
      <c r="D97" s="41"/>
      <c r="E97" s="41"/>
      <c r="H97" s="52" t="s">
        <v>29</v>
      </c>
    </row>
    <row r="100" spans="2:8">
      <c r="B100" s="25"/>
      <c r="C100" s="25"/>
      <c r="D100" s="25"/>
      <c r="E100" s="25"/>
      <c r="F100" s="25"/>
      <c r="G100" s="25"/>
      <c r="H100" s="25"/>
    </row>
    <row r="101" spans="2:8">
      <c r="B101" s="25"/>
      <c r="C101" s="25"/>
      <c r="D101" s="25"/>
      <c r="E101" s="25"/>
      <c r="F101" s="25"/>
      <c r="G101" s="25"/>
      <c r="H101" s="25"/>
    </row>
    <row r="102" spans="2:8">
      <c r="B102" s="25"/>
      <c r="C102" s="25"/>
      <c r="D102" s="25"/>
      <c r="E102" s="25"/>
      <c r="F102" s="25"/>
      <c r="G102" s="25"/>
      <c r="H102" s="25"/>
    </row>
    <row r="103" spans="2:8">
      <c r="B103" s="25"/>
      <c r="C103" s="25"/>
      <c r="D103" s="25"/>
      <c r="E103" s="25"/>
      <c r="F103" s="25"/>
      <c r="G103" s="25"/>
      <c r="H103" s="25"/>
    </row>
    <row r="104" spans="2:8">
      <c r="B104" s="25"/>
      <c r="C104" s="25"/>
      <c r="D104" s="25"/>
      <c r="E104" s="25"/>
      <c r="F104" s="25"/>
      <c r="G104" s="25"/>
      <c r="H104" s="25"/>
    </row>
    <row r="105" spans="2:8">
      <c r="B105" s="25"/>
      <c r="C105" s="25"/>
      <c r="D105" s="25"/>
      <c r="E105" s="25"/>
      <c r="F105" s="25"/>
      <c r="G105" s="25"/>
      <c r="H105" s="25"/>
    </row>
  </sheetData>
  <mergeCells count="28">
    <mergeCell ref="B5:C5"/>
    <mergeCell ref="K8:L8"/>
    <mergeCell ref="B17:H17"/>
    <mergeCell ref="B38:H38"/>
    <mergeCell ref="B44:H44"/>
    <mergeCell ref="L16:N16"/>
    <mergeCell ref="M8:N8"/>
    <mergeCell ref="K6:T6"/>
    <mergeCell ref="S8:T8"/>
    <mergeCell ref="Q8:R8"/>
    <mergeCell ref="O8:P8"/>
    <mergeCell ref="B13:H13"/>
    <mergeCell ref="K13:N13"/>
    <mergeCell ref="E9:I9"/>
    <mergeCell ref="B23:C23"/>
    <mergeCell ref="E23:I23"/>
    <mergeCell ref="B21:H21"/>
    <mergeCell ref="B89:I89"/>
    <mergeCell ref="B91:I91"/>
    <mergeCell ref="B90:I90"/>
    <mergeCell ref="B83:H83"/>
    <mergeCell ref="B76:H76"/>
    <mergeCell ref="D88:E88"/>
    <mergeCell ref="B64:H64"/>
    <mergeCell ref="B33:C33"/>
    <mergeCell ref="E33:I33"/>
    <mergeCell ref="B82:H82"/>
    <mergeCell ref="B79:H79"/>
  </mergeCells>
  <pageMargins left="0.7" right="0.7" top="0.75" bottom="0.75" header="0.3" footer="0.3"/>
  <pageSetup paperSize="9" scale="87"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dimension ref="A1:R30"/>
  <sheetViews>
    <sheetView showGridLines="0" topLeftCell="A7" workbookViewId="0">
      <selection activeCell="K28" sqref="K28"/>
    </sheetView>
  </sheetViews>
  <sheetFormatPr defaultRowHeight="15"/>
  <cols>
    <col min="1" max="1" width="6.28515625" bestFit="1" customWidth="1"/>
    <col min="3" max="3" width="9.42578125" customWidth="1"/>
    <col min="4" max="4" width="11.28515625" bestFit="1" customWidth="1"/>
    <col min="5" max="5" width="8.28515625" bestFit="1" customWidth="1"/>
    <col min="6" max="6" width="11.28515625" bestFit="1" customWidth="1"/>
    <col min="7" max="7" width="7.28515625" bestFit="1" customWidth="1"/>
    <col min="8" max="8" width="11.28515625" bestFit="1" customWidth="1"/>
    <col min="9" max="9" width="7.28515625" bestFit="1" customWidth="1"/>
    <col min="10" max="10" width="11.28515625" bestFit="1" customWidth="1"/>
    <col min="11" max="11" width="7.28515625" bestFit="1" customWidth="1"/>
    <col min="12" max="12" width="11.28515625" bestFit="1" customWidth="1"/>
    <col min="13" max="13" width="7.28515625" bestFit="1" customWidth="1"/>
    <col min="14" max="14" width="11.28515625" bestFit="1" customWidth="1"/>
    <col min="15" max="15" width="8" bestFit="1" customWidth="1"/>
    <col min="16" max="16" width="12.7109375" bestFit="1" customWidth="1"/>
  </cols>
  <sheetData>
    <row r="1" spans="1:17">
      <c r="A1" s="263"/>
      <c r="B1" s="264"/>
      <c r="C1" s="265"/>
      <c r="D1" s="265"/>
      <c r="E1" s="265"/>
      <c r="F1" s="265"/>
      <c r="G1" s="265"/>
      <c r="H1" s="265"/>
      <c r="I1" s="264"/>
      <c r="J1" s="264"/>
      <c r="K1" s="264"/>
      <c r="L1" s="265"/>
      <c r="M1" s="265"/>
      <c r="N1" s="265"/>
      <c r="O1" s="266"/>
    </row>
    <row r="2" spans="1:17" ht="15.75">
      <c r="A2" s="267"/>
      <c r="B2" s="229"/>
      <c r="C2" s="280" t="s">
        <v>220</v>
      </c>
      <c r="D2" s="280"/>
      <c r="E2" s="280"/>
      <c r="F2" s="280"/>
      <c r="G2" s="280"/>
      <c r="H2" s="229"/>
      <c r="I2" s="229"/>
      <c r="J2" s="229"/>
      <c r="K2" s="229"/>
      <c r="L2" s="11"/>
      <c r="M2" s="11"/>
      <c r="N2" s="11"/>
      <c r="O2" s="268"/>
    </row>
    <row r="3" spans="1:17" ht="15.75">
      <c r="A3" s="267"/>
      <c r="B3" s="229"/>
      <c r="C3" s="230" t="s">
        <v>221</v>
      </c>
      <c r="D3" s="230"/>
      <c r="E3" s="230"/>
      <c r="F3" s="231"/>
      <c r="G3" s="232"/>
      <c r="H3" s="229"/>
      <c r="I3" s="229"/>
      <c r="J3" s="229"/>
      <c r="K3" s="229"/>
      <c r="L3" s="11"/>
      <c r="M3" s="11"/>
      <c r="N3" s="11"/>
      <c r="O3" s="268"/>
    </row>
    <row r="4" spans="1:17" ht="15.75">
      <c r="A4" s="267"/>
      <c r="B4" s="229"/>
      <c r="C4" s="233" t="s">
        <v>222</v>
      </c>
      <c r="D4" s="233"/>
      <c r="E4" s="234"/>
      <c r="F4" s="235"/>
      <c r="G4" s="232"/>
      <c r="H4" s="229"/>
      <c r="I4" s="229"/>
      <c r="J4" s="229"/>
      <c r="K4" s="229"/>
      <c r="L4" s="11"/>
      <c r="M4" s="11"/>
      <c r="N4" s="11"/>
      <c r="O4" s="268"/>
    </row>
    <row r="5" spans="1:17">
      <c r="A5" s="267"/>
      <c r="B5" s="229"/>
      <c r="C5" s="229"/>
      <c r="D5" s="229"/>
      <c r="E5" s="229"/>
      <c r="F5" s="232"/>
      <c r="G5" s="232"/>
      <c r="H5" s="229"/>
      <c r="I5" s="229"/>
      <c r="J5" s="229"/>
      <c r="K5" s="229"/>
      <c r="L5" s="11"/>
      <c r="M5" s="11"/>
      <c r="N5" s="11"/>
      <c r="O5" s="268"/>
    </row>
    <row r="6" spans="1:17" ht="15.75">
      <c r="A6" s="326" t="s">
        <v>258</v>
      </c>
      <c r="B6" s="327"/>
      <c r="C6" s="327"/>
      <c r="D6" s="327"/>
      <c r="E6" s="327"/>
      <c r="F6" s="327"/>
      <c r="G6" s="327"/>
      <c r="H6" s="279"/>
      <c r="I6" s="279"/>
      <c r="J6" s="236"/>
      <c r="K6" s="236"/>
      <c r="L6" s="11"/>
      <c r="M6" s="11"/>
      <c r="N6" s="11"/>
      <c r="O6" s="268"/>
    </row>
    <row r="7" spans="1:17" ht="15.75">
      <c r="A7" s="328" t="s">
        <v>259</v>
      </c>
      <c r="B7" s="329"/>
      <c r="C7" s="329"/>
      <c r="D7" s="329"/>
      <c r="E7" s="329"/>
      <c r="F7" s="329"/>
      <c r="G7" s="329"/>
      <c r="H7" s="236"/>
      <c r="I7" s="236"/>
      <c r="J7" s="236"/>
      <c r="K7" s="236"/>
      <c r="L7" s="11"/>
      <c r="M7" s="11"/>
      <c r="N7" s="11"/>
      <c r="O7" s="268"/>
    </row>
    <row r="8" spans="1:17" ht="15.75">
      <c r="A8" s="330" t="s">
        <v>260</v>
      </c>
      <c r="B8" s="331"/>
      <c r="C8" s="331"/>
      <c r="D8" s="331"/>
      <c r="E8" s="331"/>
      <c r="F8" s="331"/>
      <c r="G8" s="331"/>
      <c r="H8" s="278"/>
      <c r="I8" s="278"/>
      <c r="J8" s="236"/>
      <c r="K8" s="236"/>
      <c r="L8" s="11"/>
      <c r="M8" s="11"/>
      <c r="N8" s="11"/>
      <c r="O8" s="268"/>
    </row>
    <row r="9" spans="1:17" ht="20.25" customHeight="1">
      <c r="A9" s="336" t="s">
        <v>223</v>
      </c>
      <c r="B9" s="337"/>
      <c r="C9" s="337"/>
      <c r="D9" s="337"/>
      <c r="E9" s="337"/>
      <c r="F9" s="337"/>
      <c r="G9" s="337"/>
      <c r="H9" s="337"/>
      <c r="I9" s="337"/>
      <c r="J9" s="337"/>
      <c r="K9" s="337"/>
      <c r="L9" s="337"/>
      <c r="M9" s="337"/>
      <c r="N9" s="337"/>
      <c r="O9" s="338"/>
    </row>
    <row r="10" spans="1:17">
      <c r="A10" s="339"/>
      <c r="B10" s="340"/>
      <c r="C10" s="340"/>
      <c r="D10" s="340"/>
      <c r="E10" s="340"/>
      <c r="F10" s="340"/>
      <c r="G10" s="340"/>
      <c r="H10" s="340"/>
      <c r="I10" s="340"/>
      <c r="J10" s="340"/>
      <c r="K10" s="340"/>
      <c r="L10" s="340"/>
      <c r="M10" s="340"/>
      <c r="N10" s="340"/>
      <c r="O10" s="341"/>
    </row>
    <row r="11" spans="1:17">
      <c r="A11" s="325" t="s">
        <v>2</v>
      </c>
      <c r="B11" s="352" t="s">
        <v>224</v>
      </c>
      <c r="C11" s="352"/>
      <c r="D11" s="352" t="s">
        <v>225</v>
      </c>
      <c r="E11" s="352" t="s">
        <v>226</v>
      </c>
      <c r="F11" s="332" t="s">
        <v>227</v>
      </c>
      <c r="G11" s="333"/>
      <c r="H11" s="333"/>
      <c r="I11" s="333"/>
      <c r="J11" s="333"/>
      <c r="K11" s="333"/>
      <c r="L11" s="333"/>
      <c r="M11" s="333"/>
      <c r="N11" s="333"/>
      <c r="O11" s="334"/>
      <c r="P11" s="243"/>
      <c r="Q11" s="243"/>
    </row>
    <row r="12" spans="1:17">
      <c r="A12" s="325"/>
      <c r="B12" s="352"/>
      <c r="C12" s="352"/>
      <c r="D12" s="352"/>
      <c r="E12" s="352"/>
      <c r="F12" s="324" t="s">
        <v>228</v>
      </c>
      <c r="G12" s="324"/>
      <c r="H12" s="324" t="s">
        <v>229</v>
      </c>
      <c r="I12" s="324"/>
      <c r="J12" s="324" t="s">
        <v>230</v>
      </c>
      <c r="K12" s="324"/>
      <c r="L12" s="324" t="s">
        <v>253</v>
      </c>
      <c r="M12" s="324"/>
      <c r="N12" s="324" t="s">
        <v>254</v>
      </c>
      <c r="O12" s="351"/>
      <c r="P12" s="316"/>
      <c r="Q12" s="316"/>
    </row>
    <row r="13" spans="1:17">
      <c r="A13" s="269" t="s">
        <v>10</v>
      </c>
      <c r="B13" s="323" t="s">
        <v>244</v>
      </c>
      <c r="C13" s="323"/>
      <c r="D13" s="245">
        <f>Orçamento!I13</f>
        <v>10233.08</v>
      </c>
      <c r="E13" s="246">
        <f t="shared" ref="E13:E22" si="0">D13/$D$22</f>
        <v>1.4880289926797196E-2</v>
      </c>
      <c r="F13" s="247">
        <f>D13*G13</f>
        <v>3069.924</v>
      </c>
      <c r="G13" s="248">
        <v>0.3</v>
      </c>
      <c r="H13" s="247">
        <f t="shared" ref="H13:H16" si="1">I13*D13</f>
        <v>1534.962</v>
      </c>
      <c r="I13" s="248">
        <v>0.15</v>
      </c>
      <c r="J13" s="247">
        <f>K13*D13</f>
        <v>1534.962</v>
      </c>
      <c r="K13" s="248">
        <v>0.15</v>
      </c>
      <c r="L13" s="247">
        <f>M13*D13</f>
        <v>1534.962</v>
      </c>
      <c r="M13" s="248">
        <v>0.15</v>
      </c>
      <c r="N13" s="247">
        <f>O13*D13</f>
        <v>2558.27</v>
      </c>
      <c r="O13" s="270">
        <v>0.25</v>
      </c>
      <c r="P13" s="244"/>
    </row>
    <row r="14" spans="1:17">
      <c r="A14" s="269" t="s">
        <v>15</v>
      </c>
      <c r="B14" s="323" t="s">
        <v>245</v>
      </c>
      <c r="C14" s="323"/>
      <c r="D14" s="245">
        <f>Orçamento!I17</f>
        <v>78107.66</v>
      </c>
      <c r="E14" s="246">
        <f t="shared" si="0"/>
        <v>0.11357915957890491</v>
      </c>
      <c r="F14" s="247" t="s">
        <v>255</v>
      </c>
      <c r="G14" s="248">
        <v>0</v>
      </c>
      <c r="H14" s="247">
        <f t="shared" si="1"/>
        <v>39053.83</v>
      </c>
      <c r="I14" s="248">
        <v>0.5</v>
      </c>
      <c r="J14" s="247">
        <f t="shared" ref="J14:J19" si="2">K14*D14</f>
        <v>31243.064000000002</v>
      </c>
      <c r="K14" s="248">
        <v>0.4</v>
      </c>
      <c r="L14" s="247">
        <f t="shared" ref="L14:L19" si="3">M14*D14</f>
        <v>7810.7660000000005</v>
      </c>
      <c r="M14" s="248">
        <v>0.1</v>
      </c>
      <c r="N14" s="247" t="s">
        <v>255</v>
      </c>
      <c r="O14" s="270">
        <v>0</v>
      </c>
      <c r="P14" s="244"/>
    </row>
    <row r="15" spans="1:17">
      <c r="A15" s="269" t="s">
        <v>17</v>
      </c>
      <c r="B15" s="323" t="s">
        <v>246</v>
      </c>
      <c r="C15" s="323"/>
      <c r="D15" s="245">
        <f>Orçamento!I21</f>
        <v>3996.76</v>
      </c>
      <c r="E15" s="246">
        <f t="shared" si="0"/>
        <v>5.8118325633949855E-3</v>
      </c>
      <c r="F15" s="247" t="s">
        <v>255</v>
      </c>
      <c r="G15" s="248">
        <v>0</v>
      </c>
      <c r="H15" s="247" t="s">
        <v>255</v>
      </c>
      <c r="I15" s="248">
        <v>0</v>
      </c>
      <c r="J15" s="247" t="s">
        <v>255</v>
      </c>
      <c r="K15" s="248">
        <v>0</v>
      </c>
      <c r="L15" s="247" t="s">
        <v>255</v>
      </c>
      <c r="M15" s="248">
        <v>0</v>
      </c>
      <c r="N15" s="247">
        <f t="shared" ref="N15:N21" si="4">O15*D15</f>
        <v>3996.76</v>
      </c>
      <c r="O15" s="270">
        <v>1</v>
      </c>
      <c r="P15" s="244"/>
    </row>
    <row r="16" spans="1:17">
      <c r="A16" s="269" t="s">
        <v>18</v>
      </c>
      <c r="B16" s="321" t="s">
        <v>247</v>
      </c>
      <c r="C16" s="321"/>
      <c r="D16" s="249">
        <f>Orçamento!I38</f>
        <v>257062.48</v>
      </c>
      <c r="E16" s="250">
        <f t="shared" si="0"/>
        <v>0.37380380410409236</v>
      </c>
      <c r="F16" s="247">
        <f t="shared" ref="F16" si="5">D16*G16</f>
        <v>179943.736</v>
      </c>
      <c r="G16" s="251">
        <v>0.7</v>
      </c>
      <c r="H16" s="247">
        <f t="shared" si="1"/>
        <v>77118.744000000006</v>
      </c>
      <c r="I16" s="251">
        <v>0.3</v>
      </c>
      <c r="J16" s="247" t="s">
        <v>255</v>
      </c>
      <c r="K16" s="252">
        <v>0</v>
      </c>
      <c r="L16" s="247" t="s">
        <v>255</v>
      </c>
      <c r="M16" s="252">
        <v>0</v>
      </c>
      <c r="N16" s="247">
        <f t="shared" si="4"/>
        <v>0</v>
      </c>
      <c r="O16" s="271">
        <v>0</v>
      </c>
      <c r="P16" s="244"/>
      <c r="Q16" s="11"/>
    </row>
    <row r="17" spans="1:18">
      <c r="A17" s="269" t="s">
        <v>19</v>
      </c>
      <c r="B17" s="322" t="s">
        <v>248</v>
      </c>
      <c r="C17" s="322"/>
      <c r="D17" s="245">
        <f>Orçamento!I44</f>
        <v>9459.91</v>
      </c>
      <c r="E17" s="246">
        <f t="shared" si="0"/>
        <v>1.3755995602634599E-2</v>
      </c>
      <c r="F17" s="247" t="s">
        <v>255</v>
      </c>
      <c r="G17" s="253">
        <v>0</v>
      </c>
      <c r="H17" s="247" t="s">
        <v>255</v>
      </c>
      <c r="I17" s="248">
        <v>0</v>
      </c>
      <c r="J17" s="247" t="s">
        <v>255</v>
      </c>
      <c r="K17" s="284">
        <v>0</v>
      </c>
      <c r="L17" s="247">
        <f>M17*D17</f>
        <v>4729.9549999999999</v>
      </c>
      <c r="M17" s="248">
        <v>0.5</v>
      </c>
      <c r="N17" s="247">
        <f t="shared" si="4"/>
        <v>4729.9549999999999</v>
      </c>
      <c r="O17" s="270">
        <v>0.5</v>
      </c>
      <c r="P17" s="244"/>
    </row>
    <row r="18" spans="1:18">
      <c r="A18" s="269" t="s">
        <v>20</v>
      </c>
      <c r="B18" s="322" t="s">
        <v>249</v>
      </c>
      <c r="C18" s="322"/>
      <c r="D18" s="254">
        <f>Orçamento!I64</f>
        <v>262896.98</v>
      </c>
      <c r="E18" s="255">
        <f t="shared" si="0"/>
        <v>0.38228796054359032</v>
      </c>
      <c r="F18" s="247" t="s">
        <v>255</v>
      </c>
      <c r="G18" s="248">
        <v>0</v>
      </c>
      <c r="H18" s="247" t="s">
        <v>255</v>
      </c>
      <c r="I18" s="253">
        <v>0</v>
      </c>
      <c r="J18" s="247">
        <f t="shared" si="2"/>
        <v>52579.396000000001</v>
      </c>
      <c r="K18" s="248">
        <v>0.2</v>
      </c>
      <c r="L18" s="247">
        <f t="shared" si="3"/>
        <v>131448.49</v>
      </c>
      <c r="M18" s="248">
        <v>0.5</v>
      </c>
      <c r="N18" s="247">
        <f t="shared" si="4"/>
        <v>78869.093999999997</v>
      </c>
      <c r="O18" s="270">
        <v>0.3</v>
      </c>
      <c r="P18" s="244"/>
    </row>
    <row r="19" spans="1:18">
      <c r="A19" s="269" t="s">
        <v>142</v>
      </c>
      <c r="B19" s="323" t="s">
        <v>250</v>
      </c>
      <c r="C19" s="323"/>
      <c r="D19" s="245">
        <f>Orçamento!I76</f>
        <v>53714.92</v>
      </c>
      <c r="E19" s="246">
        <f t="shared" si="0"/>
        <v>7.8108798425764014E-2</v>
      </c>
      <c r="F19" s="247" t="s">
        <v>255</v>
      </c>
      <c r="G19" s="248">
        <v>0</v>
      </c>
      <c r="H19" s="247" t="s">
        <v>255</v>
      </c>
      <c r="I19" s="248">
        <v>0</v>
      </c>
      <c r="J19" s="247">
        <f t="shared" si="2"/>
        <v>32228.951999999997</v>
      </c>
      <c r="K19" s="248">
        <v>0.6</v>
      </c>
      <c r="L19" s="247">
        <f t="shared" si="3"/>
        <v>21485.968000000001</v>
      </c>
      <c r="M19" s="248">
        <v>0.4</v>
      </c>
      <c r="N19" s="247" t="s">
        <v>255</v>
      </c>
      <c r="O19" s="270">
        <v>0</v>
      </c>
      <c r="P19" s="244"/>
    </row>
    <row r="20" spans="1:18">
      <c r="A20" s="269" t="s">
        <v>210</v>
      </c>
      <c r="B20" s="323" t="s">
        <v>251</v>
      </c>
      <c r="C20" s="323"/>
      <c r="D20" s="245">
        <f>Orçamento!I79</f>
        <v>7147.8</v>
      </c>
      <c r="E20" s="246">
        <f t="shared" si="0"/>
        <v>1.0393873236480219E-2</v>
      </c>
      <c r="F20" s="247" t="s">
        <v>255</v>
      </c>
      <c r="G20" s="248">
        <v>0</v>
      </c>
      <c r="H20" s="247" t="s">
        <v>255</v>
      </c>
      <c r="I20" s="248">
        <v>0</v>
      </c>
      <c r="J20" s="247" t="s">
        <v>255</v>
      </c>
      <c r="K20" s="248">
        <v>0</v>
      </c>
      <c r="L20" s="247" t="s">
        <v>255</v>
      </c>
      <c r="M20" s="248">
        <v>0</v>
      </c>
      <c r="N20" s="247">
        <f t="shared" si="4"/>
        <v>7147.8</v>
      </c>
      <c r="O20" s="270">
        <v>1</v>
      </c>
      <c r="P20" s="244"/>
    </row>
    <row r="21" spans="1:18">
      <c r="A21" s="269" t="s">
        <v>231</v>
      </c>
      <c r="B21" s="323" t="s">
        <v>252</v>
      </c>
      <c r="C21" s="323"/>
      <c r="D21" s="245">
        <f>Orçamento!I82</f>
        <v>5074</v>
      </c>
      <c r="E21" s="246">
        <f t="shared" si="0"/>
        <v>7.3782860183413956E-3</v>
      </c>
      <c r="F21" s="247" t="s">
        <v>255</v>
      </c>
      <c r="G21" s="248">
        <v>0</v>
      </c>
      <c r="H21" s="247" t="s">
        <v>255</v>
      </c>
      <c r="I21" s="248">
        <v>0</v>
      </c>
      <c r="J21" s="247" t="s">
        <v>255</v>
      </c>
      <c r="K21" s="248">
        <v>0</v>
      </c>
      <c r="L21" s="247" t="s">
        <v>255</v>
      </c>
      <c r="M21" s="248">
        <v>0</v>
      </c>
      <c r="N21" s="247">
        <f t="shared" si="4"/>
        <v>5074</v>
      </c>
      <c r="O21" s="270">
        <v>1</v>
      </c>
      <c r="P21" s="244"/>
    </row>
    <row r="22" spans="1:18">
      <c r="A22" s="317" t="s">
        <v>232</v>
      </c>
      <c r="B22" s="318"/>
      <c r="C22" s="318"/>
      <c r="D22" s="256">
        <f>SUM(D13:D21)</f>
        <v>687693.59</v>
      </c>
      <c r="E22" s="246">
        <f t="shared" si="0"/>
        <v>1</v>
      </c>
      <c r="F22" s="247">
        <f>SUM(F13:F21)</f>
        <v>183013.66</v>
      </c>
      <c r="G22" s="257">
        <f>F22/D23</f>
        <v>0.26612674985090384</v>
      </c>
      <c r="H22" s="247">
        <f>SUM(H13:H21)</f>
        <v>117707.53600000001</v>
      </c>
      <c r="I22" s="246">
        <f>H22/D23</f>
        <v>0.17116276450969975</v>
      </c>
      <c r="J22" s="247">
        <f>SUM(J13:J21)</f>
        <v>117586.37400000001</v>
      </c>
      <c r="K22" s="246">
        <f>J22/D23</f>
        <v>0.17098657848475804</v>
      </c>
      <c r="L22" s="247">
        <f>SUM(L13:L21)</f>
        <v>167010.14099999997</v>
      </c>
      <c r="M22" s="246">
        <f>L22/D23</f>
        <v>0.24285545689032811</v>
      </c>
      <c r="N22" s="247">
        <f>SUM(N13:N21)</f>
        <v>102375.879</v>
      </c>
      <c r="O22" s="272">
        <f>N22/D23</f>
        <v>0.14886845026431031</v>
      </c>
    </row>
    <row r="23" spans="1:18">
      <c r="A23" s="319" t="s">
        <v>233</v>
      </c>
      <c r="B23" s="320"/>
      <c r="C23" s="320"/>
      <c r="D23" s="258">
        <f>D22</f>
        <v>687693.59</v>
      </c>
      <c r="E23" s="259"/>
      <c r="F23" s="260">
        <f>F22</f>
        <v>183013.66</v>
      </c>
      <c r="G23" s="261">
        <f>G22</f>
        <v>0.26612674985090384</v>
      </c>
      <c r="H23" s="260">
        <f t="shared" ref="H23:K23" si="6">H22+F23</f>
        <v>300721.196</v>
      </c>
      <c r="I23" s="262">
        <f t="shared" si="6"/>
        <v>0.43728951436060359</v>
      </c>
      <c r="J23" s="260">
        <f t="shared" si="6"/>
        <v>418307.57</v>
      </c>
      <c r="K23" s="262">
        <f t="shared" si="6"/>
        <v>0.60827609284536166</v>
      </c>
      <c r="L23" s="260">
        <f t="shared" ref="L23" si="7">L22+J23</f>
        <v>585317.71100000001</v>
      </c>
      <c r="M23" s="262">
        <f t="shared" ref="M23" si="8">M22+K23</f>
        <v>0.85113154973568972</v>
      </c>
      <c r="N23" s="260">
        <f>N22+L23</f>
        <v>687693.59</v>
      </c>
      <c r="O23" s="273">
        <f>O22+M23</f>
        <v>1</v>
      </c>
    </row>
    <row r="24" spans="1:18" s="227" customFormat="1">
      <c r="A24" s="348"/>
      <c r="B24" s="349"/>
      <c r="C24" s="349"/>
      <c r="D24" s="349"/>
      <c r="E24" s="349"/>
      <c r="F24" s="349"/>
      <c r="G24" s="349"/>
      <c r="H24" s="349"/>
      <c r="I24" s="349"/>
      <c r="J24" s="349"/>
      <c r="K24" s="349"/>
      <c r="L24" s="349"/>
      <c r="M24" s="349"/>
      <c r="N24" s="349"/>
      <c r="O24" s="350"/>
    </row>
    <row r="25" spans="1:18">
      <c r="A25" s="346" t="s">
        <v>234</v>
      </c>
      <c r="B25" s="347"/>
      <c r="C25" s="347"/>
      <c r="D25" s="277"/>
      <c r="E25" s="277"/>
      <c r="F25" s="342"/>
      <c r="G25" s="342"/>
      <c r="H25" s="342"/>
      <c r="I25" s="237"/>
      <c r="J25" s="229"/>
      <c r="K25" s="229"/>
      <c r="L25" s="11"/>
      <c r="M25" s="11"/>
      <c r="N25" s="11"/>
      <c r="O25" s="268"/>
    </row>
    <row r="26" spans="1:18" ht="15.75" thickBot="1">
      <c r="A26" s="343" t="s">
        <v>257</v>
      </c>
      <c r="B26" s="344"/>
      <c r="C26" s="344"/>
      <c r="D26" s="345"/>
      <c r="E26" s="335" t="s">
        <v>235</v>
      </c>
      <c r="F26" s="335"/>
      <c r="G26" s="335"/>
      <c r="H26" s="335"/>
      <c r="I26" s="274"/>
      <c r="J26" s="274"/>
      <c r="K26" s="274"/>
      <c r="L26" s="275"/>
      <c r="M26" s="275"/>
      <c r="N26" s="275"/>
      <c r="O26" s="276"/>
    </row>
    <row r="27" spans="1:18">
      <c r="R27" s="227" t="s">
        <v>29</v>
      </c>
    </row>
    <row r="30" spans="1:18">
      <c r="E30" s="227" t="s">
        <v>29</v>
      </c>
    </row>
  </sheetData>
  <mergeCells count="32">
    <mergeCell ref="A6:G6"/>
    <mergeCell ref="A7:G7"/>
    <mergeCell ref="A8:G8"/>
    <mergeCell ref="F11:O11"/>
    <mergeCell ref="E26:H26"/>
    <mergeCell ref="A9:O9"/>
    <mergeCell ref="A10:O10"/>
    <mergeCell ref="F25:H25"/>
    <mergeCell ref="A26:D26"/>
    <mergeCell ref="A25:C25"/>
    <mergeCell ref="A24:O24"/>
    <mergeCell ref="L12:M12"/>
    <mergeCell ref="N12:O12"/>
    <mergeCell ref="B11:C12"/>
    <mergeCell ref="D11:D12"/>
    <mergeCell ref="E11:E12"/>
    <mergeCell ref="P12:Q12"/>
    <mergeCell ref="A22:C22"/>
    <mergeCell ref="A23:C23"/>
    <mergeCell ref="B16:C16"/>
    <mergeCell ref="B17:C17"/>
    <mergeCell ref="B18:C18"/>
    <mergeCell ref="B19:C19"/>
    <mergeCell ref="B20:C20"/>
    <mergeCell ref="B21:C21"/>
    <mergeCell ref="F12:G12"/>
    <mergeCell ref="H12:I12"/>
    <mergeCell ref="J12:K12"/>
    <mergeCell ref="B13:C13"/>
    <mergeCell ref="B14:C14"/>
    <mergeCell ref="B15:C15"/>
    <mergeCell ref="A11:A12"/>
  </mergeCells>
  <pageMargins left="0.25" right="0.25" top="0.75" bottom="0.75" header="0.3" footer="0.3"/>
  <pageSetup paperSize="9" orientation="landscape" horizontalDpi="0" verticalDpi="0" r:id="rId1"/>
  <legacyDrawing r:id="rId2"/>
  <oleObjects>
    <oleObject progId="CorelDraw.Graphic.9" shapeId="5121" r:id="rId3"/>
  </oleObjects>
</worksheet>
</file>

<file path=xl/worksheets/sheet3.xml><?xml version="1.0" encoding="utf-8"?>
<worksheet xmlns="http://schemas.openxmlformats.org/spreadsheetml/2006/main" xmlns:r="http://schemas.openxmlformats.org/officeDocument/2006/relationships">
  <dimension ref="A1:J36"/>
  <sheetViews>
    <sheetView topLeftCell="A11" workbookViewId="0">
      <selection activeCell="C41" sqref="C41"/>
    </sheetView>
  </sheetViews>
  <sheetFormatPr defaultRowHeight="15"/>
  <cols>
    <col min="1" max="1" width="5.85546875" style="120" customWidth="1"/>
    <col min="2" max="2" width="23.28515625" style="120" bestFit="1" customWidth="1"/>
    <col min="3" max="3" width="22.5703125" bestFit="1" customWidth="1"/>
    <col min="4" max="4" width="17" bestFit="1" customWidth="1"/>
    <col min="5" max="5" width="11.42578125" bestFit="1" customWidth="1"/>
    <col min="6" max="6" width="19.140625" bestFit="1" customWidth="1"/>
    <col min="7" max="7" width="13.5703125" bestFit="1" customWidth="1"/>
    <col min="8" max="8" width="22.28515625" style="120" bestFit="1" customWidth="1"/>
    <col min="9" max="9" width="9.85546875" bestFit="1" customWidth="1"/>
    <col min="10" max="10" width="9.85546875" style="120" customWidth="1"/>
  </cols>
  <sheetData>
    <row r="1" spans="2:10" s="120" customFormat="1" ht="15.75" thickBot="1"/>
    <row r="2" spans="2:10" ht="15.75" thickBot="1">
      <c r="B2" s="361" t="s">
        <v>97</v>
      </c>
      <c r="C2" s="362"/>
      <c r="D2" s="362"/>
      <c r="E2" s="362"/>
      <c r="F2" s="362"/>
      <c r="G2" s="362"/>
      <c r="H2" s="362"/>
      <c r="I2" s="362"/>
      <c r="J2" s="363"/>
    </row>
    <row r="3" spans="2:10" s="120" customFormat="1" ht="15.75" thickBot="1">
      <c r="C3" s="26"/>
      <c r="D3" s="26"/>
      <c r="E3" s="26"/>
      <c r="F3" s="26"/>
    </row>
    <row r="4" spans="2:10" ht="15.75" thickBot="1">
      <c r="B4" s="358" t="s">
        <v>122</v>
      </c>
      <c r="C4" s="359"/>
      <c r="D4" s="359"/>
      <c r="E4" s="359"/>
      <c r="F4" s="359"/>
      <c r="G4" s="359"/>
      <c r="H4" s="359"/>
      <c r="I4" s="359"/>
      <c r="J4" s="360"/>
    </row>
    <row r="5" spans="2:10" s="120" customFormat="1"/>
    <row r="6" spans="2:10" s="120" customFormat="1" ht="15.75">
      <c r="B6" s="135" t="s">
        <v>101</v>
      </c>
      <c r="C6" s="136" t="s">
        <v>107</v>
      </c>
      <c r="D6" s="137" t="s">
        <v>99</v>
      </c>
      <c r="E6" s="136" t="s">
        <v>100</v>
      </c>
      <c r="F6" s="136" t="s">
        <v>103</v>
      </c>
      <c r="G6" s="136" t="s">
        <v>102</v>
      </c>
      <c r="H6" s="136" t="s">
        <v>109</v>
      </c>
      <c r="I6" s="136" t="s">
        <v>104</v>
      </c>
      <c r="J6" s="138">
        <v>0.1</v>
      </c>
    </row>
    <row r="7" spans="2:10">
      <c r="B7" s="136" t="s">
        <v>98</v>
      </c>
      <c r="C7" s="133" t="s">
        <v>108</v>
      </c>
      <c r="D7" s="122">
        <v>6.3</v>
      </c>
      <c r="E7" s="122">
        <v>61</v>
      </c>
      <c r="F7" s="122">
        <f>(1.98+0.83)*10</f>
        <v>28.1</v>
      </c>
      <c r="G7" s="122">
        <v>0.245</v>
      </c>
      <c r="H7" s="122">
        <f>F7*E7</f>
        <v>1714.1000000000001</v>
      </c>
      <c r="I7" s="122">
        <f>G7*H7</f>
        <v>419.95450000000005</v>
      </c>
      <c r="J7" s="122">
        <f>I7*1.1</f>
        <v>461.94995000000011</v>
      </c>
    </row>
    <row r="8" spans="2:10" s="120" customFormat="1">
      <c r="B8" s="355"/>
      <c r="C8" s="356"/>
      <c r="D8" s="356"/>
      <c r="E8" s="356"/>
      <c r="F8" s="356"/>
      <c r="G8" s="356"/>
      <c r="H8" s="356"/>
      <c r="I8" s="356"/>
      <c r="J8" s="357"/>
    </row>
    <row r="9" spans="2:10">
      <c r="B9" s="366" t="s">
        <v>105</v>
      </c>
      <c r="C9" s="133" t="s">
        <v>108</v>
      </c>
      <c r="D9" s="122">
        <v>6.3</v>
      </c>
      <c r="E9" s="122">
        <f>ROUND(185.8/0.2,0)</f>
        <v>929</v>
      </c>
      <c r="F9" s="122">
        <f>1.18</f>
        <v>1.18</v>
      </c>
      <c r="G9" s="122">
        <v>0.245</v>
      </c>
      <c r="H9" s="122">
        <f>F9*E9</f>
        <v>1096.22</v>
      </c>
      <c r="I9" s="122">
        <f>H9*G9</f>
        <v>268.57389999999998</v>
      </c>
      <c r="J9" s="122">
        <f t="shared" ref="J9:J15" si="0">I9*1.1</f>
        <v>295.43128999999999</v>
      </c>
    </row>
    <row r="10" spans="2:10" s="120" customFormat="1">
      <c r="B10" s="367"/>
      <c r="C10" s="122" t="s">
        <v>110</v>
      </c>
      <c r="D10" s="122">
        <v>6.3</v>
      </c>
      <c r="E10" s="122">
        <v>4</v>
      </c>
      <c r="F10" s="122">
        <v>185.8</v>
      </c>
      <c r="G10" s="122">
        <v>0.245</v>
      </c>
      <c r="H10" s="122">
        <f>F10*E10</f>
        <v>743.2</v>
      </c>
      <c r="I10" s="122">
        <f>H10*G10</f>
        <v>182.084</v>
      </c>
      <c r="J10" s="122">
        <f t="shared" si="0"/>
        <v>200.29240000000001</v>
      </c>
    </row>
    <row r="11" spans="2:10" s="120" customFormat="1">
      <c r="B11" s="368"/>
      <c r="C11" s="122" t="s">
        <v>111</v>
      </c>
      <c r="D11" s="122">
        <v>10</v>
      </c>
      <c r="E11" s="122">
        <v>8</v>
      </c>
      <c r="F11" s="122">
        <v>185.8</v>
      </c>
      <c r="G11" s="122">
        <v>0.61699999999999999</v>
      </c>
      <c r="H11" s="122">
        <f>F11*E11</f>
        <v>1486.4</v>
      </c>
      <c r="I11" s="122">
        <f>H11*G11</f>
        <v>917.10880000000009</v>
      </c>
      <c r="J11" s="122">
        <f t="shared" si="0"/>
        <v>1008.8196800000002</v>
      </c>
    </row>
    <row r="12" spans="2:10" s="120" customFormat="1">
      <c r="B12" s="355"/>
      <c r="C12" s="356"/>
      <c r="D12" s="356"/>
      <c r="E12" s="356"/>
      <c r="F12" s="356"/>
      <c r="G12" s="356"/>
      <c r="H12" s="356"/>
      <c r="I12" s="356"/>
      <c r="J12" s="357"/>
    </row>
    <row r="13" spans="2:10">
      <c r="B13" s="366" t="s">
        <v>106</v>
      </c>
      <c r="C13" s="133" t="s">
        <v>108</v>
      </c>
      <c r="D13" s="133">
        <v>6.3</v>
      </c>
      <c r="E13" s="133">
        <f>ROUND(152.3/0.2,0)</f>
        <v>762</v>
      </c>
      <c r="F13" s="133">
        <v>2.1800000000000002</v>
      </c>
      <c r="G13" s="133">
        <f>0.245</f>
        <v>0.245</v>
      </c>
      <c r="H13" s="133">
        <f>F13*E13</f>
        <v>1661.16</v>
      </c>
      <c r="I13" s="133">
        <f>H13*G13</f>
        <v>406.98419999999999</v>
      </c>
      <c r="J13" s="122">
        <f t="shared" si="0"/>
        <v>447.68262000000004</v>
      </c>
    </row>
    <row r="14" spans="2:10">
      <c r="B14" s="367"/>
      <c r="C14" s="122" t="s">
        <v>110</v>
      </c>
      <c r="D14" s="133">
        <v>6.3</v>
      </c>
      <c r="E14" s="133">
        <v>10</v>
      </c>
      <c r="F14" s="133">
        <v>152.30000000000001</v>
      </c>
      <c r="G14" s="133">
        <f>0.245</f>
        <v>0.245</v>
      </c>
      <c r="H14" s="133">
        <f>F14*E14</f>
        <v>1523</v>
      </c>
      <c r="I14" s="133">
        <f t="shared" ref="I14:I15" si="1">H14*G14</f>
        <v>373.13499999999999</v>
      </c>
      <c r="J14" s="122">
        <f t="shared" si="0"/>
        <v>410.44850000000002</v>
      </c>
    </row>
    <row r="15" spans="2:10">
      <c r="B15" s="368"/>
      <c r="C15" s="122" t="s">
        <v>111</v>
      </c>
      <c r="D15" s="133">
        <v>10</v>
      </c>
      <c r="E15" s="133">
        <v>8</v>
      </c>
      <c r="F15" s="133">
        <v>152.30000000000001</v>
      </c>
      <c r="G15" s="133">
        <v>0.61699999999999999</v>
      </c>
      <c r="H15" s="133">
        <f>F15*E15</f>
        <v>1218.4000000000001</v>
      </c>
      <c r="I15" s="133">
        <f t="shared" si="1"/>
        <v>751.75280000000009</v>
      </c>
      <c r="J15" s="122">
        <f t="shared" si="0"/>
        <v>826.92808000000014</v>
      </c>
    </row>
    <row r="17" spans="2:9">
      <c r="B17" s="364" t="s">
        <v>112</v>
      </c>
      <c r="C17" s="134" t="s">
        <v>113</v>
      </c>
      <c r="D17" s="139">
        <f>J7+J9+J10+J13+J14</f>
        <v>1815.8047600000002</v>
      </c>
    </row>
    <row r="18" spans="2:9">
      <c r="B18" s="364"/>
      <c r="C18" s="134" t="s">
        <v>114</v>
      </c>
      <c r="D18" s="139">
        <f>J11+J15</f>
        <v>1835.7477600000002</v>
      </c>
    </row>
    <row r="19" spans="2:9" ht="15.75" thickBot="1"/>
    <row r="20" spans="2:9" ht="15.75" thickBot="1">
      <c r="B20" s="353" t="s">
        <v>121</v>
      </c>
      <c r="C20" s="365"/>
      <c r="D20" s="365"/>
      <c r="E20" s="365"/>
      <c r="F20" s="365"/>
      <c r="G20" s="354"/>
      <c r="I20" s="120"/>
    </row>
    <row r="21" spans="2:9">
      <c r="G21" s="120"/>
      <c r="I21" s="120"/>
    </row>
    <row r="22" spans="2:9">
      <c r="B22" s="135" t="s">
        <v>101</v>
      </c>
      <c r="C22" s="135" t="s">
        <v>117</v>
      </c>
      <c r="D22" s="135" t="s">
        <v>120</v>
      </c>
      <c r="E22" s="135" t="s">
        <v>118</v>
      </c>
      <c r="F22" s="135" t="s">
        <v>100</v>
      </c>
      <c r="G22" s="135" t="s">
        <v>119</v>
      </c>
    </row>
    <row r="23" spans="2:9">
      <c r="B23" s="135" t="s">
        <v>98</v>
      </c>
      <c r="C23" s="122">
        <v>0.6</v>
      </c>
      <c r="D23" s="122">
        <v>0.6</v>
      </c>
      <c r="E23" s="122">
        <v>0.7</v>
      </c>
      <c r="F23" s="122">
        <v>61</v>
      </c>
      <c r="G23" s="28">
        <f>C23*D23*E23*F23</f>
        <v>15.372</v>
      </c>
    </row>
    <row r="24" spans="2:9">
      <c r="B24" s="135" t="s">
        <v>115</v>
      </c>
      <c r="C24" s="122">
        <v>0.15</v>
      </c>
      <c r="D24" s="122">
        <v>185.8</v>
      </c>
      <c r="E24" s="122">
        <f>0.5</f>
        <v>0.5</v>
      </c>
      <c r="F24" s="122">
        <v>1</v>
      </c>
      <c r="G24" s="28">
        <f>C24*D24*E24</f>
        <v>13.935</v>
      </c>
    </row>
    <row r="25" spans="2:9">
      <c r="B25" s="135" t="s">
        <v>116</v>
      </c>
      <c r="C25" s="122">
        <v>0.15</v>
      </c>
      <c r="D25" s="122">
        <v>152.30000000000001</v>
      </c>
      <c r="E25" s="122">
        <v>1</v>
      </c>
      <c r="F25" s="122">
        <v>1</v>
      </c>
      <c r="G25" s="28">
        <f>C25*D25*E25</f>
        <v>22.845000000000002</v>
      </c>
      <c r="H25" s="109"/>
    </row>
    <row r="26" spans="2:9">
      <c r="G26" s="140">
        <f>SUM(G23:G25)</f>
        <v>52.152000000000001</v>
      </c>
    </row>
    <row r="27" spans="2:9">
      <c r="D27" s="171"/>
      <c r="E27" s="171"/>
      <c r="F27" s="171"/>
      <c r="G27" s="171"/>
    </row>
    <row r="28" spans="2:9" ht="15.75" thickBot="1">
      <c r="D28" s="171"/>
      <c r="E28" s="171"/>
      <c r="F28" s="171"/>
      <c r="G28" s="171"/>
    </row>
    <row r="29" spans="2:9" ht="15.75" thickBot="1">
      <c r="B29" s="353" t="s">
        <v>158</v>
      </c>
      <c r="C29" s="354"/>
      <c r="D29" s="171"/>
      <c r="E29" s="171"/>
      <c r="F29" s="171"/>
      <c r="G29" s="171"/>
    </row>
    <row r="30" spans="2:9">
      <c r="D30" s="171"/>
      <c r="E30" s="171"/>
      <c r="F30" s="171"/>
      <c r="G30" s="171"/>
    </row>
    <row r="31" spans="2:9">
      <c r="B31" s="135" t="s">
        <v>101</v>
      </c>
      <c r="C31" s="135" t="s">
        <v>159</v>
      </c>
      <c r="D31" s="171"/>
      <c r="E31" s="171"/>
      <c r="F31" s="171"/>
      <c r="G31" s="171"/>
    </row>
    <row r="32" spans="2:9">
      <c r="B32" s="135" t="s">
        <v>98</v>
      </c>
      <c r="C32" s="133">
        <f>(4*0.6*0.73)*61</f>
        <v>106.872</v>
      </c>
      <c r="D32" s="171"/>
      <c r="E32" s="171"/>
      <c r="F32" s="171"/>
      <c r="G32" s="171"/>
    </row>
    <row r="33" spans="2:7">
      <c r="B33" s="135" t="s">
        <v>115</v>
      </c>
      <c r="C33" s="192">
        <f>(338*0.53*2)</f>
        <v>358.28000000000003</v>
      </c>
      <c r="D33" s="171"/>
      <c r="E33" s="171"/>
      <c r="F33" s="171"/>
      <c r="G33" s="171"/>
    </row>
    <row r="34" spans="2:7">
      <c r="B34" s="135" t="s">
        <v>116</v>
      </c>
      <c r="C34" s="192">
        <f>(338*1.03*2)</f>
        <v>696.28</v>
      </c>
      <c r="D34" s="189"/>
      <c r="E34" s="189"/>
      <c r="F34" s="11"/>
    </row>
    <row r="35" spans="2:7">
      <c r="B35" s="191"/>
      <c r="C35" s="190">
        <f>SUM(C32:C34,2)</f>
        <v>1163.432</v>
      </c>
      <c r="D35" s="11"/>
      <c r="E35" s="11"/>
    </row>
    <row r="36" spans="2:7">
      <c r="B36" s="11"/>
    </row>
  </sheetData>
  <mergeCells count="9">
    <mergeCell ref="B29:C29"/>
    <mergeCell ref="B8:J8"/>
    <mergeCell ref="B4:J4"/>
    <mergeCell ref="B2:J2"/>
    <mergeCell ref="B17:B18"/>
    <mergeCell ref="B20:G20"/>
    <mergeCell ref="B9:B11"/>
    <mergeCell ref="B13:B15"/>
    <mergeCell ref="B12:J12"/>
  </mergeCells>
  <pageMargins left="0.511811024" right="0.511811024" top="0.78740157499999996" bottom="0.78740157499999996" header="0.31496062000000002" footer="0.31496062000000002"/>
  <pageSetup paperSize="9" orientation="portrait" verticalDpi="0" r:id="rId1"/>
  <legacyDrawing r:id="rId2"/>
</worksheet>
</file>

<file path=xl/worksheets/sheet4.xml><?xml version="1.0" encoding="utf-8"?>
<worksheet xmlns="http://schemas.openxmlformats.org/spreadsheetml/2006/main" xmlns:r="http://schemas.openxmlformats.org/officeDocument/2006/relationships">
  <dimension ref="A1:H23"/>
  <sheetViews>
    <sheetView workbookViewId="0">
      <selection activeCell="C13" sqref="C13"/>
    </sheetView>
  </sheetViews>
  <sheetFormatPr defaultRowHeight="15"/>
  <cols>
    <col min="1" max="1" width="16.42578125" style="29" customWidth="1"/>
    <col min="2" max="2" width="15.140625" style="29" customWidth="1"/>
    <col min="3" max="3" width="47.28515625" style="27" customWidth="1"/>
    <col min="4" max="4" width="7.28515625" style="26" customWidth="1"/>
    <col min="5" max="5" width="12.140625" style="31" customWidth="1"/>
    <col min="6" max="6" width="9.140625" style="29"/>
    <col min="7" max="7" width="12.7109375" style="29" customWidth="1"/>
  </cols>
  <sheetData>
    <row r="1" spans="1:8">
      <c r="A1" s="115"/>
      <c r="B1" s="116"/>
      <c r="C1" s="116"/>
      <c r="D1" s="29"/>
      <c r="E1" s="116"/>
      <c r="F1" s="117"/>
      <c r="G1" s="117"/>
    </row>
    <row r="3" spans="1:8">
      <c r="B3" s="202" t="s">
        <v>195</v>
      </c>
      <c r="C3" s="369" t="s">
        <v>132</v>
      </c>
      <c r="D3" s="369"/>
      <c r="E3" s="369"/>
      <c r="F3" s="369"/>
      <c r="G3" s="369"/>
    </row>
    <row r="4" spans="1:8" ht="25.5">
      <c r="B4" s="201" t="s">
        <v>124</v>
      </c>
      <c r="C4" s="148" t="s">
        <v>125</v>
      </c>
      <c r="D4" s="201" t="s">
        <v>81</v>
      </c>
      <c r="E4" s="148">
        <f>5.38*0.03</f>
        <v>0.16139999999999999</v>
      </c>
      <c r="F4" s="148">
        <v>3916.47</v>
      </c>
      <c r="G4" s="148">
        <f>E4*F4</f>
        <v>632.11825799999997</v>
      </c>
    </row>
    <row r="5" spans="1:8" ht="25.5">
      <c r="B5" s="201" t="s">
        <v>126</v>
      </c>
      <c r="C5" s="148" t="s">
        <v>127</v>
      </c>
      <c r="D5" s="201" t="s">
        <v>26</v>
      </c>
      <c r="E5" s="148">
        <v>20</v>
      </c>
      <c r="F5" s="148">
        <v>1.21</v>
      </c>
      <c r="G5" s="148">
        <f>E5*F5</f>
        <v>24.2</v>
      </c>
    </row>
    <row r="6" spans="1:8" ht="25.5">
      <c r="B6" s="201" t="s">
        <v>129</v>
      </c>
      <c r="C6" s="148" t="s">
        <v>128</v>
      </c>
      <c r="D6" s="201" t="s">
        <v>81</v>
      </c>
      <c r="E6" s="148">
        <f>ROUND(2.758*0.15,2)</f>
        <v>0.41</v>
      </c>
      <c r="F6" s="148">
        <v>60.33</v>
      </c>
      <c r="G6" s="148">
        <f t="shared" ref="G6:G8" si="0">E6*F6</f>
        <v>24.735299999999999</v>
      </c>
    </row>
    <row r="7" spans="1:8" ht="51">
      <c r="B7" s="201" t="s">
        <v>130</v>
      </c>
      <c r="C7" s="148" t="s">
        <v>131</v>
      </c>
      <c r="D7" s="201" t="s">
        <v>91</v>
      </c>
      <c r="E7" s="148">
        <f>((5.38)+(6.65*0.5)+(5.38*4))*5</f>
        <v>151.125</v>
      </c>
      <c r="F7" s="148">
        <v>0.89</v>
      </c>
      <c r="G7" s="148">
        <f t="shared" si="0"/>
        <v>134.50125</v>
      </c>
    </row>
    <row r="8" spans="1:8" ht="26.25" thickBot="1">
      <c r="B8" s="201" t="s">
        <v>133</v>
      </c>
      <c r="C8" s="148" t="s">
        <v>134</v>
      </c>
      <c r="D8" s="201" t="s">
        <v>25</v>
      </c>
      <c r="E8" s="148">
        <f>11.3*0.5</f>
        <v>5.65</v>
      </c>
      <c r="F8" s="148">
        <v>13.59</v>
      </c>
      <c r="G8" s="203">
        <f t="shared" si="0"/>
        <v>76.783500000000004</v>
      </c>
    </row>
    <row r="9" spans="1:8" s="188" customFormat="1" ht="15.75" thickBot="1">
      <c r="A9" s="29"/>
      <c r="B9" s="199"/>
      <c r="C9" s="200"/>
      <c r="D9" s="169"/>
      <c r="E9" s="193"/>
      <c r="F9" s="207"/>
      <c r="G9" s="210">
        <f>SUM(G4:G8)</f>
        <v>892.3383080000001</v>
      </c>
      <c r="H9" s="11"/>
    </row>
    <row r="10" spans="1:8" s="188" customFormat="1">
      <c r="A10" s="29"/>
      <c r="B10" s="199"/>
      <c r="C10" s="200"/>
      <c r="D10" s="169"/>
      <c r="E10" s="193"/>
      <c r="F10" s="169"/>
      <c r="G10" s="208"/>
      <c r="H10" s="11"/>
    </row>
    <row r="11" spans="1:8">
      <c r="G11" s="209"/>
    </row>
    <row r="12" spans="1:8" s="188" customFormat="1">
      <c r="A12" s="29"/>
      <c r="B12" s="202" t="s">
        <v>194</v>
      </c>
      <c r="C12" s="369" t="s">
        <v>183</v>
      </c>
      <c r="D12" s="369"/>
      <c r="E12" s="369"/>
      <c r="F12" s="369"/>
      <c r="G12" s="369"/>
    </row>
    <row r="13" spans="1:8" s="188" customFormat="1" ht="30">
      <c r="A13" s="29"/>
      <c r="B13" s="147" t="s">
        <v>185</v>
      </c>
      <c r="C13" s="148" t="s">
        <v>184</v>
      </c>
      <c r="D13" s="149" t="s">
        <v>87</v>
      </c>
      <c r="E13" s="152">
        <v>18</v>
      </c>
      <c r="F13" s="150">
        <v>154.77000000000001</v>
      </c>
      <c r="G13" s="152">
        <f>ROUND(E13*F13,2)</f>
        <v>2785.86</v>
      </c>
    </row>
    <row r="14" spans="1:8" s="188" customFormat="1" ht="25.5">
      <c r="A14" s="29"/>
      <c r="B14" s="151" t="s">
        <v>189</v>
      </c>
      <c r="C14" s="148" t="s">
        <v>186</v>
      </c>
      <c r="D14" s="149" t="s">
        <v>87</v>
      </c>
      <c r="E14" s="152">
        <v>24</v>
      </c>
      <c r="F14" s="152">
        <v>137.69</v>
      </c>
      <c r="G14" s="152">
        <f t="shared" ref="G14:G17" si="1">ROUND(E14*F14,2)</f>
        <v>3304.56</v>
      </c>
    </row>
    <row r="15" spans="1:8" s="188" customFormat="1" ht="38.25">
      <c r="A15" s="29"/>
      <c r="B15" s="151" t="s">
        <v>187</v>
      </c>
      <c r="C15" s="148" t="s">
        <v>188</v>
      </c>
      <c r="D15" s="149" t="s">
        <v>87</v>
      </c>
      <c r="E15" s="152">
        <v>24</v>
      </c>
      <c r="F15" s="150">
        <v>162.85</v>
      </c>
      <c r="G15" s="152">
        <f t="shared" si="1"/>
        <v>3908.4</v>
      </c>
    </row>
    <row r="16" spans="1:8" s="188" customFormat="1">
      <c r="A16" s="29"/>
      <c r="B16" s="151" t="s">
        <v>198</v>
      </c>
      <c r="C16" s="148" t="s">
        <v>192</v>
      </c>
      <c r="D16" s="149" t="s">
        <v>193</v>
      </c>
      <c r="E16" s="152">
        <v>40</v>
      </c>
      <c r="F16" s="150">
        <v>26.3</v>
      </c>
      <c r="G16" s="152">
        <f t="shared" si="1"/>
        <v>1052</v>
      </c>
    </row>
    <row r="17" spans="1:8" s="188" customFormat="1" ht="25.5">
      <c r="A17" s="29"/>
      <c r="B17" s="151" t="s">
        <v>190</v>
      </c>
      <c r="C17" s="148" t="s">
        <v>191</v>
      </c>
      <c r="D17" s="149" t="s">
        <v>81</v>
      </c>
      <c r="E17" s="152">
        <v>18</v>
      </c>
      <c r="F17" s="150">
        <f>Orçamento!F15</f>
        <v>2762.1950000000002</v>
      </c>
      <c r="G17" s="152">
        <f t="shared" si="1"/>
        <v>49719.51</v>
      </c>
    </row>
    <row r="18" spans="1:8" s="188" customFormat="1" ht="15.75" thickBot="1">
      <c r="A18" s="29"/>
      <c r="B18" s="199"/>
      <c r="C18" s="199"/>
      <c r="D18" s="169"/>
      <c r="E18" s="205"/>
      <c r="F18" s="206"/>
      <c r="G18" s="204">
        <f>SUM(G13:G17)</f>
        <v>60770.33</v>
      </c>
    </row>
    <row r="19" spans="1:8" ht="15.75" thickBot="1">
      <c r="G19" s="210">
        <f>ROUND(G18/Orçamento!F15,2)</f>
        <v>22</v>
      </c>
      <c r="H19" s="188"/>
    </row>
    <row r="21" spans="1:8">
      <c r="B21" s="188"/>
      <c r="C21" s="188"/>
    </row>
    <row r="22" spans="1:8">
      <c r="B22" s="188"/>
      <c r="C22" s="188"/>
    </row>
    <row r="23" spans="1:8">
      <c r="B23" s="188"/>
      <c r="C23" s="188"/>
    </row>
  </sheetData>
  <mergeCells count="2">
    <mergeCell ref="C12:G12"/>
    <mergeCell ref="C3:G3"/>
  </mergeCells>
  <pageMargins left="0.511811024" right="0.511811024" top="0.78740157499999996" bottom="0.78740157499999996" header="0.31496062000000002" footer="0.31496062000000002"/>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2</vt:i4>
      </vt:variant>
    </vt:vector>
  </HeadingPairs>
  <TitlesOfParts>
    <vt:vector size="6" baseType="lpstr">
      <vt:lpstr>Orçamento</vt:lpstr>
      <vt:lpstr>Cronograma físico-financeiro</vt:lpstr>
      <vt:lpstr>Quantitativos</vt:lpstr>
      <vt:lpstr>Composição</vt:lpstr>
      <vt:lpstr>'Cronograma físico-financeiro'!Area_de_impressao</vt:lpstr>
      <vt:lpstr>Orçamento!Area_de_impressao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estagioeduca01</dc:creator>
  <cp:lastModifiedBy>estagioeduca01</cp:lastModifiedBy>
  <cp:lastPrinted>2018-09-25T18:41:22Z</cp:lastPrinted>
  <dcterms:created xsi:type="dcterms:W3CDTF">2017-09-11T16:41:36Z</dcterms:created>
  <dcterms:modified xsi:type="dcterms:W3CDTF">2018-09-25T20:19:40Z</dcterms:modified>
</cp:coreProperties>
</file>